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0730" windowHeight="9240" activeTab="4"/>
  </bookViews>
  <sheets>
    <sheet name="Indoor Worker" sheetId="1" r:id="rId1"/>
    <sheet name="Outdoor Worker" sheetId="2" r:id="rId2"/>
    <sheet name="Ind. Worker 2-D" sheetId="3" r:id="rId3"/>
    <sheet name="Out. Worker 2-D" sheetId="4" r:id="rId4"/>
    <sheet name="Isotope Specific Factors" sheetId="5" r:id="rId5"/>
  </sheets>
  <calcPr calcId="145621"/>
</workbook>
</file>

<file path=xl/calcChain.xml><?xml version="1.0" encoding="utf-8"?>
<calcChain xmlns="http://schemas.openxmlformats.org/spreadsheetml/2006/main">
  <c r="E63" i="2" l="1"/>
  <c r="E62" i="2"/>
  <c r="E61" i="2"/>
  <c r="E60" i="2"/>
  <c r="E59" i="2"/>
  <c r="E58" i="2"/>
  <c r="E57" i="2"/>
  <c r="E55" i="2"/>
  <c r="E54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F35" i="2"/>
  <c r="E35" i="2"/>
  <c r="C35" i="2"/>
  <c r="B35" i="2"/>
  <c r="G34" i="2"/>
  <c r="F34" i="2"/>
  <c r="E34" i="2"/>
  <c r="D34" i="2"/>
  <c r="C34" i="2"/>
  <c r="C36" i="2" s="1"/>
  <c r="B34" i="2"/>
  <c r="B36" i="2" s="1"/>
  <c r="E32" i="2"/>
  <c r="B32" i="2"/>
  <c r="G31" i="2"/>
  <c r="E31" i="2"/>
  <c r="E33" i="2" s="1"/>
  <c r="G32" i="2" s="1"/>
  <c r="D31" i="2"/>
  <c r="B31" i="2"/>
  <c r="B33" i="2" s="1"/>
  <c r="D32" i="2" s="1"/>
  <c r="F29" i="2"/>
  <c r="E29" i="2"/>
  <c r="C29" i="2"/>
  <c r="B29" i="2"/>
  <c r="G28" i="2"/>
  <c r="F28" i="2"/>
  <c r="E28" i="2"/>
  <c r="D28" i="2"/>
  <c r="C28" i="2"/>
  <c r="C30" i="2" s="1"/>
  <c r="B28" i="2"/>
  <c r="B30" i="2" s="1"/>
  <c r="F26" i="2"/>
  <c r="E26" i="2"/>
  <c r="C26" i="2"/>
  <c r="B26" i="2"/>
  <c r="G25" i="2"/>
  <c r="F25" i="2"/>
  <c r="F27" i="2" s="1"/>
  <c r="E25" i="2"/>
  <c r="E27" i="2" s="1"/>
  <c r="D25" i="2"/>
  <c r="C25" i="2"/>
  <c r="B25" i="2"/>
  <c r="E63" i="1"/>
  <c r="E62" i="1"/>
  <c r="E61" i="1"/>
  <c r="E60" i="1"/>
  <c r="E59" i="1"/>
  <c r="E58" i="1"/>
  <c r="E57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G34" i="1"/>
  <c r="F34" i="1"/>
  <c r="E34" i="1"/>
  <c r="D34" i="1"/>
  <c r="C34" i="1"/>
  <c r="B34" i="1"/>
  <c r="E32" i="1"/>
  <c r="B32" i="1"/>
  <c r="G31" i="1"/>
  <c r="E31" i="1"/>
  <c r="D31" i="1"/>
  <c r="B31" i="1"/>
  <c r="F29" i="1"/>
  <c r="E29" i="1"/>
  <c r="C29" i="1"/>
  <c r="B29" i="1"/>
  <c r="G28" i="1"/>
  <c r="F28" i="1"/>
  <c r="E28" i="1"/>
  <c r="D28" i="1"/>
  <c r="C28" i="1"/>
  <c r="B28" i="1"/>
  <c r="F26" i="1"/>
  <c r="E26" i="1"/>
  <c r="C26" i="1"/>
  <c r="B26" i="1"/>
  <c r="G25" i="1"/>
  <c r="F25" i="1"/>
  <c r="E25" i="1"/>
  <c r="D25" i="1"/>
  <c r="C25" i="1"/>
  <c r="B25" i="1"/>
  <c r="B27" i="1" s="1"/>
  <c r="C30" i="1" l="1"/>
  <c r="E30" i="2"/>
  <c r="E36" i="2"/>
  <c r="G35" i="2" s="1"/>
  <c r="G36" i="2" s="1"/>
  <c r="F27" i="1"/>
  <c r="F30" i="2"/>
  <c r="F36" i="2"/>
  <c r="E30" i="1"/>
  <c r="G33" i="2"/>
  <c r="B27" i="2"/>
  <c r="C27" i="2"/>
  <c r="G26" i="2"/>
  <c r="G27" i="2" s="1"/>
  <c r="D29" i="2"/>
  <c r="D30" i="2" s="1"/>
  <c r="D35" i="2"/>
  <c r="D36" i="2" s="1"/>
  <c r="G29" i="2"/>
  <c r="G30" i="2" s="1"/>
  <c r="D33" i="2"/>
  <c r="B33" i="1"/>
  <c r="D32" i="1" s="1"/>
  <c r="C27" i="1"/>
  <c r="D26" i="1" s="1"/>
  <c r="D27" i="1" s="1"/>
  <c r="D33" i="1"/>
  <c r="E27" i="1"/>
  <c r="G26" i="1" s="1"/>
  <c r="G27" i="1" s="1"/>
  <c r="B30" i="1"/>
  <c r="D29" i="1" s="1"/>
  <c r="D30" i="1" s="1"/>
  <c r="F30" i="1"/>
  <c r="G29" i="1" s="1"/>
  <c r="G30" i="1" s="1"/>
  <c r="E33" i="1"/>
  <c r="G32" i="1"/>
  <c r="G33" i="1" s="1"/>
  <c r="G27" i="4"/>
  <c r="G28" i="4"/>
  <c r="G29" i="4"/>
  <c r="G30" i="4"/>
  <c r="L5" i="4"/>
  <c r="K5" i="4"/>
  <c r="J5" i="4"/>
  <c r="I5" i="4"/>
  <c r="H5" i="4"/>
  <c r="L4" i="4"/>
  <c r="K4" i="4"/>
  <c r="J4" i="4"/>
  <c r="I4" i="4"/>
  <c r="H4" i="4"/>
  <c r="L3" i="4"/>
  <c r="K3" i="4"/>
  <c r="J3" i="4"/>
  <c r="I3" i="4"/>
  <c r="H3" i="4"/>
  <c r="L2" i="4"/>
  <c r="K2" i="4"/>
  <c r="J2" i="4"/>
  <c r="I2" i="4"/>
  <c r="H2" i="4"/>
  <c r="L5" i="3"/>
  <c r="L4" i="3"/>
  <c r="L3" i="3"/>
  <c r="L2" i="3"/>
  <c r="K2" i="3"/>
  <c r="K3" i="3"/>
  <c r="K4" i="3"/>
  <c r="K5" i="3"/>
  <c r="J2" i="3"/>
  <c r="J3" i="3"/>
  <c r="J4" i="3"/>
  <c r="J5" i="3"/>
  <c r="I2" i="3"/>
  <c r="I3" i="3"/>
  <c r="I4" i="3"/>
  <c r="I5" i="3"/>
  <c r="H5" i="3"/>
  <c r="H4" i="3"/>
  <c r="H3" i="3"/>
  <c r="H2" i="3"/>
  <c r="K5" i="2"/>
  <c r="K4" i="2"/>
  <c r="K3" i="2"/>
  <c r="K2" i="2"/>
  <c r="M5" i="2"/>
  <c r="M4" i="2"/>
  <c r="M3" i="2"/>
  <c r="M2" i="2"/>
  <c r="J5" i="2"/>
  <c r="I5" i="2"/>
  <c r="J4" i="2"/>
  <c r="I4" i="2"/>
  <c r="J3" i="2"/>
  <c r="I3" i="2"/>
  <c r="J2" i="2"/>
  <c r="I2" i="2"/>
  <c r="G2" i="2"/>
  <c r="H2" i="2"/>
  <c r="G3" i="2"/>
  <c r="H3" i="2"/>
  <c r="G4" i="2"/>
  <c r="H4" i="2"/>
  <c r="G5" i="2"/>
  <c r="H5" i="2"/>
  <c r="K5" i="1"/>
  <c r="K4" i="1"/>
  <c r="K3" i="1"/>
  <c r="K2" i="1"/>
  <c r="M5" i="1"/>
  <c r="M4" i="1"/>
  <c r="M3" i="1"/>
  <c r="M2" i="1"/>
  <c r="J5" i="1"/>
  <c r="J4" i="1"/>
  <c r="J3" i="1"/>
  <c r="J2" i="1"/>
  <c r="I4" i="1"/>
  <c r="I5" i="1"/>
  <c r="I3" i="1"/>
  <c r="I2" i="1"/>
  <c r="I7" i="5"/>
  <c r="I4" i="5"/>
  <c r="I3" i="5"/>
  <c r="D26" i="2" l="1"/>
  <c r="D27" i="2" s="1"/>
  <c r="F35" i="1"/>
  <c r="F36" i="1" s="1"/>
  <c r="C35" i="1"/>
  <c r="C36" i="1" s="1"/>
  <c r="U46" i="4"/>
  <c r="N46" i="4"/>
  <c r="G46" i="4"/>
  <c r="U45" i="4"/>
  <c r="N45" i="4"/>
  <c r="G45" i="4"/>
  <c r="U44" i="4"/>
  <c r="N44" i="4"/>
  <c r="G44" i="4"/>
  <c r="U43" i="4"/>
  <c r="N43" i="4"/>
  <c r="G43" i="4"/>
  <c r="U42" i="4"/>
  <c r="N42" i="4"/>
  <c r="G42" i="4"/>
  <c r="U36" i="4"/>
  <c r="N36" i="4"/>
  <c r="G36" i="4"/>
  <c r="U35" i="4"/>
  <c r="N35" i="4"/>
  <c r="G35" i="4"/>
  <c r="U34" i="4"/>
  <c r="N34" i="4"/>
  <c r="G34" i="4"/>
  <c r="U33" i="4"/>
  <c r="N33" i="4"/>
  <c r="G33" i="4"/>
  <c r="U32" i="4"/>
  <c r="N32" i="4"/>
  <c r="G32" i="4"/>
  <c r="U31" i="4"/>
  <c r="N31" i="4"/>
  <c r="G31" i="4"/>
  <c r="U30" i="4"/>
  <c r="N30" i="4"/>
  <c r="U29" i="4"/>
  <c r="N29" i="4"/>
  <c r="U28" i="4"/>
  <c r="N28" i="4"/>
  <c r="U27" i="4"/>
  <c r="N27" i="4"/>
  <c r="V14" i="4"/>
  <c r="M14" i="4"/>
  <c r="L14" i="4"/>
  <c r="F5" i="4"/>
  <c r="S23" i="4" s="1"/>
  <c r="F4" i="4"/>
  <c r="G4" i="4" s="1"/>
  <c r="F3" i="4"/>
  <c r="T17" i="4" s="1"/>
  <c r="F2" i="4"/>
  <c r="U14" i="4" s="1"/>
  <c r="U46" i="3"/>
  <c r="N46" i="3"/>
  <c r="G46" i="3"/>
  <c r="U45" i="3"/>
  <c r="N45" i="3"/>
  <c r="G45" i="3"/>
  <c r="U44" i="3"/>
  <c r="N44" i="3"/>
  <c r="G44" i="3"/>
  <c r="U43" i="3"/>
  <c r="N43" i="3"/>
  <c r="G43" i="3"/>
  <c r="U42" i="3"/>
  <c r="N42" i="3"/>
  <c r="G42" i="3"/>
  <c r="U36" i="3"/>
  <c r="N36" i="3"/>
  <c r="G36" i="3"/>
  <c r="U35" i="3"/>
  <c r="N35" i="3"/>
  <c r="G35" i="3"/>
  <c r="U34" i="3"/>
  <c r="N34" i="3"/>
  <c r="G34" i="3"/>
  <c r="U33" i="3"/>
  <c r="N33" i="3"/>
  <c r="G33" i="3"/>
  <c r="U32" i="3"/>
  <c r="N32" i="3"/>
  <c r="G32" i="3"/>
  <c r="U31" i="3"/>
  <c r="N31" i="3"/>
  <c r="G31" i="3"/>
  <c r="U30" i="3"/>
  <c r="N30" i="3"/>
  <c r="G30" i="3"/>
  <c r="U29" i="3"/>
  <c r="N29" i="3"/>
  <c r="G29" i="3"/>
  <c r="U28" i="3"/>
  <c r="N28" i="3"/>
  <c r="G28" i="3"/>
  <c r="U27" i="3"/>
  <c r="N27" i="3"/>
  <c r="G27" i="3"/>
  <c r="F5" i="3"/>
  <c r="T23" i="3" s="1"/>
  <c r="F4" i="3"/>
  <c r="G4" i="3" s="1"/>
  <c r="F3" i="3"/>
  <c r="V17" i="3" s="1"/>
  <c r="F2" i="3"/>
  <c r="S14" i="3" s="1"/>
  <c r="M17" i="3" l="1"/>
  <c r="F14" i="4"/>
  <c r="R14" i="4"/>
  <c r="G14" i="4"/>
  <c r="S14" i="4"/>
  <c r="G23" i="3"/>
  <c r="H14" i="3"/>
  <c r="O23" i="3"/>
  <c r="V23" i="3"/>
  <c r="S17" i="3"/>
  <c r="E17" i="4"/>
  <c r="U17" i="4"/>
  <c r="H23" i="4"/>
  <c r="T23" i="4"/>
  <c r="R17" i="4"/>
  <c r="E23" i="4"/>
  <c r="O23" i="4"/>
  <c r="H14" i="4"/>
  <c r="G17" i="4"/>
  <c r="M17" i="4"/>
  <c r="S17" i="4"/>
  <c r="F23" i="4"/>
  <c r="L23" i="4"/>
  <c r="R23" i="4"/>
  <c r="V23" i="4"/>
  <c r="K17" i="4"/>
  <c r="O17" i="4"/>
  <c r="D23" i="4"/>
  <c r="N23" i="4"/>
  <c r="G3" i="4"/>
  <c r="G5" i="4"/>
  <c r="F17" i="4"/>
  <c r="L17" i="4"/>
  <c r="V17" i="4"/>
  <c r="K23" i="4"/>
  <c r="U23" i="4"/>
  <c r="D14" i="4"/>
  <c r="N14" i="4"/>
  <c r="T14" i="4"/>
  <c r="G2" i="4"/>
  <c r="E14" i="4"/>
  <c r="K14" i="4"/>
  <c r="O14" i="4"/>
  <c r="D17" i="4"/>
  <c r="H17" i="4"/>
  <c r="N17" i="4"/>
  <c r="G23" i="4"/>
  <c r="M23" i="4"/>
  <c r="N14" i="3"/>
  <c r="G5" i="3"/>
  <c r="H24" i="3" s="1"/>
  <c r="K23" i="3"/>
  <c r="R23" i="3"/>
  <c r="G2" i="3"/>
  <c r="T15" i="3" s="1"/>
  <c r="T14" i="3"/>
  <c r="E23" i="3"/>
  <c r="L23" i="3"/>
  <c r="S23" i="3"/>
  <c r="D14" i="3"/>
  <c r="G17" i="3"/>
  <c r="F23" i="3"/>
  <c r="M23" i="3"/>
  <c r="U23" i="3"/>
  <c r="U15" i="3"/>
  <c r="E14" i="3"/>
  <c r="K14" i="3"/>
  <c r="O14" i="3"/>
  <c r="U14" i="3"/>
  <c r="D17" i="3"/>
  <c r="H17" i="3"/>
  <c r="N17" i="3"/>
  <c r="T17" i="3"/>
  <c r="D24" i="3"/>
  <c r="G3" i="3"/>
  <c r="F14" i="3"/>
  <c r="L14" i="3"/>
  <c r="R14" i="3"/>
  <c r="V14" i="3"/>
  <c r="S15" i="3"/>
  <c r="S16" i="3" s="1"/>
  <c r="E17" i="3"/>
  <c r="K17" i="3"/>
  <c r="O17" i="3"/>
  <c r="U17" i="3"/>
  <c r="D23" i="3"/>
  <c r="H23" i="3"/>
  <c r="N23" i="3"/>
  <c r="K24" i="3"/>
  <c r="G14" i="3"/>
  <c r="M14" i="3"/>
  <c r="N15" i="3"/>
  <c r="N16" i="3" s="1"/>
  <c r="F17" i="3"/>
  <c r="L17" i="3"/>
  <c r="R17" i="3"/>
  <c r="B12" i="1"/>
  <c r="B9" i="1" s="1"/>
  <c r="B12" i="2"/>
  <c r="B9" i="2" s="1"/>
  <c r="G19" i="2"/>
  <c r="E19" i="2"/>
  <c r="H18" i="2"/>
  <c r="G18" i="2"/>
  <c r="F18" i="2"/>
  <c r="E18" i="2"/>
  <c r="F16" i="2"/>
  <c r="H15" i="2"/>
  <c r="F15" i="2"/>
  <c r="G13" i="2"/>
  <c r="E13" i="2"/>
  <c r="H12" i="2"/>
  <c r="G12" i="2"/>
  <c r="F12" i="2"/>
  <c r="E12" i="2"/>
  <c r="G10" i="2"/>
  <c r="E10" i="2"/>
  <c r="H9" i="2"/>
  <c r="G9" i="2"/>
  <c r="F9" i="2"/>
  <c r="E9" i="2"/>
  <c r="E11" i="2" s="1"/>
  <c r="V15" i="3" l="1"/>
  <c r="H15" i="3"/>
  <c r="H16" i="3" s="1"/>
  <c r="F15" i="3"/>
  <c r="E14" i="2"/>
  <c r="E20" i="2"/>
  <c r="F24" i="3"/>
  <c r="F25" i="3" s="1"/>
  <c r="K15" i="3"/>
  <c r="T16" i="3"/>
  <c r="E24" i="3"/>
  <c r="E25" i="3" s="1"/>
  <c r="T24" i="3"/>
  <c r="T25" i="3" s="1"/>
  <c r="R24" i="3"/>
  <c r="R25" i="3" s="1"/>
  <c r="D15" i="3"/>
  <c r="D16" i="3" s="1"/>
  <c r="U24" i="3"/>
  <c r="U25" i="3" s="1"/>
  <c r="M15" i="3"/>
  <c r="M16" i="3" s="1"/>
  <c r="N24" i="3"/>
  <c r="N25" i="3" s="1"/>
  <c r="R15" i="3"/>
  <c r="R16" i="3" s="1"/>
  <c r="O15" i="3"/>
  <c r="O16" i="3" s="1"/>
  <c r="L24" i="3"/>
  <c r="L25" i="3" s="1"/>
  <c r="O24" i="3"/>
  <c r="O25" i="3" s="1"/>
  <c r="H25" i="3"/>
  <c r="G15" i="3"/>
  <c r="G16" i="3" s="1"/>
  <c r="L15" i="3"/>
  <c r="L16" i="3" s="1"/>
  <c r="E15" i="3"/>
  <c r="E16" i="3" s="1"/>
  <c r="G14" i="2"/>
  <c r="F10" i="2"/>
  <c r="F11" i="2" s="1"/>
  <c r="F19" i="2"/>
  <c r="F20" i="2" s="1"/>
  <c r="F13" i="2"/>
  <c r="F14" i="2" s="1"/>
  <c r="G20" i="2"/>
  <c r="G11" i="2"/>
  <c r="F17" i="2"/>
  <c r="H16" i="2" s="1"/>
  <c r="H17" i="2" s="1"/>
  <c r="V15" i="4"/>
  <c r="V16" i="4" s="1"/>
  <c r="R15" i="4"/>
  <c r="R16" i="4" s="1"/>
  <c r="L15" i="4"/>
  <c r="L16" i="4" s="1"/>
  <c r="F15" i="4"/>
  <c r="F16" i="4" s="1"/>
  <c r="U15" i="4"/>
  <c r="U16" i="4" s="1"/>
  <c r="K15" i="4"/>
  <c r="K16" i="4" s="1"/>
  <c r="T15" i="4"/>
  <c r="T16" i="4" s="1"/>
  <c r="D15" i="4"/>
  <c r="D16" i="4" s="1"/>
  <c r="M15" i="4"/>
  <c r="M16" i="4" s="1"/>
  <c r="O15" i="4"/>
  <c r="O16" i="4" s="1"/>
  <c r="E15" i="4"/>
  <c r="E16" i="4" s="1"/>
  <c r="N15" i="4"/>
  <c r="N16" i="4" s="1"/>
  <c r="H15" i="4"/>
  <c r="H16" i="4" s="1"/>
  <c r="S15" i="4"/>
  <c r="S16" i="4" s="1"/>
  <c r="G15" i="4"/>
  <c r="G16" i="4" s="1"/>
  <c r="T24" i="4"/>
  <c r="T25" i="4" s="1"/>
  <c r="N24" i="4"/>
  <c r="N25" i="4" s="1"/>
  <c r="H24" i="4"/>
  <c r="H25" i="4" s="1"/>
  <c r="D24" i="4"/>
  <c r="D25" i="4" s="1"/>
  <c r="V24" i="4"/>
  <c r="L24" i="4"/>
  <c r="L25" i="4" s="1"/>
  <c r="U24" i="4"/>
  <c r="U25" i="4" s="1"/>
  <c r="E24" i="4"/>
  <c r="E25" i="4" s="1"/>
  <c r="S24" i="4"/>
  <c r="S25" i="4" s="1"/>
  <c r="M24" i="4"/>
  <c r="M25" i="4" s="1"/>
  <c r="G24" i="4"/>
  <c r="G25" i="4" s="1"/>
  <c r="R24" i="4"/>
  <c r="R25" i="4" s="1"/>
  <c r="F24" i="4"/>
  <c r="F25" i="4" s="1"/>
  <c r="O24" i="4"/>
  <c r="O25" i="4" s="1"/>
  <c r="K24" i="4"/>
  <c r="K25" i="4" s="1"/>
  <c r="U18" i="4"/>
  <c r="U19" i="4" s="1"/>
  <c r="O18" i="4"/>
  <c r="O19" i="4" s="1"/>
  <c r="K18" i="4"/>
  <c r="K19" i="4" s="1"/>
  <c r="E18" i="4"/>
  <c r="E19" i="4" s="1"/>
  <c r="M18" i="4"/>
  <c r="M19" i="4" s="1"/>
  <c r="V18" i="4"/>
  <c r="V19" i="4" s="1"/>
  <c r="L18" i="4"/>
  <c r="L19" i="4" s="1"/>
  <c r="T18" i="4"/>
  <c r="T19" i="4" s="1"/>
  <c r="N18" i="4"/>
  <c r="N19" i="4" s="1"/>
  <c r="H18" i="4"/>
  <c r="H19" i="4" s="1"/>
  <c r="D18" i="4"/>
  <c r="D19" i="4" s="1"/>
  <c r="S18" i="4"/>
  <c r="S19" i="4" s="1"/>
  <c r="G18" i="4"/>
  <c r="G19" i="4" s="1"/>
  <c r="R18" i="4"/>
  <c r="R19" i="4" s="1"/>
  <c r="F18" i="4"/>
  <c r="F19" i="4" s="1"/>
  <c r="V25" i="4"/>
  <c r="V24" i="3"/>
  <c r="V25" i="3" s="1"/>
  <c r="S24" i="3"/>
  <c r="S25" i="3" s="1"/>
  <c r="M24" i="3"/>
  <c r="M25" i="3" s="1"/>
  <c r="G24" i="3"/>
  <c r="G25" i="3" s="1"/>
  <c r="K25" i="3"/>
  <c r="U16" i="3"/>
  <c r="D25" i="3"/>
  <c r="F16" i="3"/>
  <c r="K16" i="3"/>
  <c r="V16" i="3"/>
  <c r="S18" i="3"/>
  <c r="S19" i="3" s="1"/>
  <c r="M18" i="3"/>
  <c r="M19" i="3" s="1"/>
  <c r="G18" i="3"/>
  <c r="G19" i="3" s="1"/>
  <c r="N18" i="3"/>
  <c r="N19" i="3" s="1"/>
  <c r="V18" i="3"/>
  <c r="V19" i="3" s="1"/>
  <c r="R18" i="3"/>
  <c r="R19" i="3" s="1"/>
  <c r="L18" i="3"/>
  <c r="L19" i="3" s="1"/>
  <c r="F18" i="3"/>
  <c r="F19" i="3" s="1"/>
  <c r="U18" i="3"/>
  <c r="U19" i="3" s="1"/>
  <c r="O18" i="3"/>
  <c r="O19" i="3" s="1"/>
  <c r="K18" i="3"/>
  <c r="K19" i="3" s="1"/>
  <c r="E18" i="3"/>
  <c r="E19" i="3" s="1"/>
  <c r="T18" i="3"/>
  <c r="T19" i="3" s="1"/>
  <c r="H18" i="3"/>
  <c r="H19" i="3" s="1"/>
  <c r="D18" i="3"/>
  <c r="D19" i="3" s="1"/>
  <c r="E12" i="1"/>
  <c r="N24" i="2"/>
  <c r="N23" i="2"/>
  <c r="N22" i="2"/>
  <c r="N21" i="2"/>
  <c r="N20" i="2"/>
  <c r="N18" i="2"/>
  <c r="N16" i="2"/>
  <c r="N15" i="2"/>
  <c r="N14" i="2"/>
  <c r="N13" i="2"/>
  <c r="N12" i="2"/>
  <c r="N11" i="2"/>
  <c r="N10" i="2"/>
  <c r="N9" i="2"/>
  <c r="N24" i="1"/>
  <c r="N23" i="1"/>
  <c r="N22" i="1"/>
  <c r="N21" i="1"/>
  <c r="N20" i="1"/>
  <c r="N18" i="1"/>
  <c r="N16" i="1"/>
  <c r="N15" i="1"/>
  <c r="N14" i="1"/>
  <c r="N13" i="1"/>
  <c r="N12" i="1"/>
  <c r="N11" i="1"/>
  <c r="N10" i="1"/>
  <c r="N9" i="1"/>
  <c r="H18" i="1"/>
  <c r="H15" i="1"/>
  <c r="H12" i="1"/>
  <c r="H9" i="1"/>
  <c r="G5" i="1"/>
  <c r="G4" i="1"/>
  <c r="G3" i="1"/>
  <c r="F12" i="1" s="1"/>
  <c r="G2" i="1"/>
  <c r="H13" i="2" l="1"/>
  <c r="H14" i="2" s="1"/>
  <c r="H3" i="1"/>
  <c r="G13" i="1" s="1"/>
  <c r="E35" i="1"/>
  <c r="E36" i="1" s="1"/>
  <c r="G35" i="1" s="1"/>
  <c r="G36" i="1" s="1"/>
  <c r="B35" i="1"/>
  <c r="B36" i="1" s="1"/>
  <c r="D35" i="1" s="1"/>
  <c r="D36" i="1" s="1"/>
  <c r="H10" i="2"/>
  <c r="H11" i="2" s="1"/>
  <c r="H19" i="2"/>
  <c r="H20" i="2" s="1"/>
  <c r="F13" i="1"/>
  <c r="F14" i="1" s="1"/>
  <c r="F18" i="1"/>
  <c r="H2" i="1"/>
  <c r="E9" i="1"/>
  <c r="G18" i="1"/>
  <c r="E13" i="1"/>
  <c r="E14" i="1" s="1"/>
  <c r="H5" i="1"/>
  <c r="F9" i="1"/>
  <c r="G12" i="1"/>
  <c r="F15" i="1"/>
  <c r="H4" i="1"/>
  <c r="G9" i="1"/>
  <c r="E18" i="1"/>
  <c r="G14" i="1" l="1"/>
  <c r="H13" i="1" s="1"/>
  <c r="H14" i="1" s="1"/>
  <c r="F10" i="1"/>
  <c r="F11" i="1" s="1"/>
  <c r="E10" i="1"/>
  <c r="E11" i="1" s="1"/>
  <c r="G10" i="1"/>
  <c r="G11" i="1" s="1"/>
  <c r="F16" i="1"/>
  <c r="F17" i="1" s="1"/>
  <c r="H16" i="1" s="1"/>
  <c r="H17" i="1" s="1"/>
  <c r="F19" i="1"/>
  <c r="F20" i="1" s="1"/>
  <c r="E19" i="1"/>
  <c r="E20" i="1" s="1"/>
  <c r="G19" i="1"/>
  <c r="G20" i="1" s="1"/>
  <c r="H10" i="1" l="1"/>
  <c r="H11" i="1" s="1"/>
  <c r="H19" i="1"/>
  <c r="H20" i="1" s="1"/>
</calcChain>
</file>

<file path=xl/sharedStrings.xml><?xml version="1.0" encoding="utf-8"?>
<sst xmlns="http://schemas.openxmlformats.org/spreadsheetml/2006/main" count="686" uniqueCount="104">
  <si>
    <t>Variables</t>
  </si>
  <si>
    <t>Defaults</t>
  </si>
  <si>
    <t>TR</t>
  </si>
  <si>
    <t>t(iw)</t>
  </si>
  <si>
    <t>λ</t>
  </si>
  <si>
    <t>EF(iw)</t>
  </si>
  <si>
    <t>ED(iw)</t>
  </si>
  <si>
    <t>IRS(iw)</t>
  </si>
  <si>
    <t>ET(iw)</t>
  </si>
  <si>
    <t>IRA(iw)</t>
  </si>
  <si>
    <t>PEF</t>
  </si>
  <si>
    <t>GSF(i)</t>
  </si>
  <si>
    <t>Soil</t>
  </si>
  <si>
    <t>GSF(a)</t>
  </si>
  <si>
    <t>t(ow)</t>
  </si>
  <si>
    <t>EF(ow)</t>
  </si>
  <si>
    <t>ED(ow)</t>
  </si>
  <si>
    <t>IRS(ow)</t>
  </si>
  <si>
    <t>ET(ow)</t>
  </si>
  <si>
    <t>IRA(ow)</t>
  </si>
  <si>
    <t>GSF(o)</t>
  </si>
  <si>
    <t>Halflife (y)</t>
  </si>
  <si>
    <t>Am-241</t>
  </si>
  <si>
    <t>Co-60</t>
  </si>
  <si>
    <t>H-3</t>
  </si>
  <si>
    <t>Pu-238</t>
  </si>
  <si>
    <t>Ingestion</t>
  </si>
  <si>
    <t>Inhalation</t>
  </si>
  <si>
    <t>External</t>
  </si>
  <si>
    <t>Total</t>
  </si>
  <si>
    <t>Calculated</t>
  </si>
  <si>
    <t>PRG</t>
  </si>
  <si>
    <t>% Differ.</t>
  </si>
  <si>
    <t>With Halflife Decay</t>
  </si>
  <si>
    <t>Without Halflife Decay</t>
  </si>
  <si>
    <t>Air</t>
  </si>
  <si>
    <r>
      <t>1-exp(-</t>
    </r>
    <r>
      <rPr>
        <sz val="10"/>
        <color theme="1"/>
        <rFont val="Calibri"/>
        <family val="2"/>
      </rPr>
      <t>λt(iw))</t>
    </r>
  </si>
  <si>
    <t>SF(s)</t>
  </si>
  <si>
    <t>SF(i)</t>
  </si>
  <si>
    <t>SF(ext-sv)</t>
  </si>
  <si>
    <t>ACF(ext-sv)</t>
  </si>
  <si>
    <t>SF(sub)</t>
  </si>
  <si>
    <t>Q/C(wind)</t>
  </si>
  <si>
    <t>V</t>
  </si>
  <si>
    <t>U(m)</t>
  </si>
  <si>
    <t>U(t)</t>
  </si>
  <si>
    <t>F(x)</t>
  </si>
  <si>
    <t>A</t>
  </si>
  <si>
    <t>A(s)</t>
  </si>
  <si>
    <t>B</t>
  </si>
  <si>
    <t>C</t>
  </si>
  <si>
    <t>1-exp(-λt(cw))</t>
  </si>
  <si>
    <t>SF(ext-1cm)</t>
  </si>
  <si>
    <t>SF(ext-5cm)</t>
  </si>
  <si>
    <t>SF(ext-15cm)</t>
  </si>
  <si>
    <t>SF(ext-gp)</t>
  </si>
  <si>
    <t>GSF(o)@0cm</t>
  </si>
  <si>
    <t>ACF(ext-1cm)</t>
  </si>
  <si>
    <t>ACF(ext-5cm)</t>
  </si>
  <si>
    <t>ACF(ext-15cm)</t>
  </si>
  <si>
    <t>ACF(ext-gp)</t>
  </si>
  <si>
    <r>
      <t>Cover Layer Thickness = 0cm ; Area = 1m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</si>
  <si>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Cover Layer Thickness = 0cm ; Area = 2m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</si>
  <si>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Cover Layer Thickness = 0cm ; Area = 5m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</si>
  <si>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Infinite Depth</t>
  </si>
  <si>
    <t>1 cm</t>
  </si>
  <si>
    <t>5 cm</t>
  </si>
  <si>
    <t>15 cm</t>
  </si>
  <si>
    <t>Dust</t>
  </si>
  <si>
    <t>External Exposure</t>
  </si>
  <si>
    <t>Type</t>
  </si>
  <si>
    <t>Ground Plane</t>
  </si>
  <si>
    <t>Soil Volume</t>
  </si>
  <si>
    <t>1cm</t>
  </si>
  <si>
    <t>5cm</t>
  </si>
  <si>
    <t>15cm</t>
  </si>
  <si>
    <t>SF(imm)</t>
  </si>
  <si>
    <t>M</t>
  </si>
  <si>
    <t>Ground Plane, Area Correction Factor</t>
  </si>
  <si>
    <t>1m^2</t>
  </si>
  <si>
    <t>2m^2</t>
  </si>
  <si>
    <t>5m^2</t>
  </si>
  <si>
    <t>10m^2</t>
  </si>
  <si>
    <t>20m^2</t>
  </si>
  <si>
    <t>50m^2</t>
  </si>
  <si>
    <t>100m^2</t>
  </si>
  <si>
    <t>200m^2</t>
  </si>
  <si>
    <t>500m^2</t>
  </si>
  <si>
    <t>1000m^2</t>
  </si>
  <si>
    <t>2000m^2</t>
  </si>
  <si>
    <t>5000m^2</t>
  </si>
  <si>
    <t>10000m^2</t>
  </si>
  <si>
    <t>20000m^2</t>
  </si>
  <si>
    <t>50000m^2</t>
  </si>
  <si>
    <t>100000m^2</t>
  </si>
  <si>
    <t>Infinite</t>
  </si>
  <si>
    <t>SF(w)</t>
  </si>
  <si>
    <t>SF(f)</t>
  </si>
  <si>
    <t>Soil Worker</t>
  </si>
  <si>
    <t>Form</t>
  </si>
  <si>
    <t>F</t>
  </si>
  <si>
    <t>S</t>
  </si>
  <si>
    <t>G(elemental)</t>
  </si>
  <si>
    <t>G(organic)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</si>
</sst>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1" fontId="0" fillId="0" borderId="1" xfId="0" applyNumberFormat="1" applyBorder="1"/>
    <xf numFmtId="0" fontId="5" fillId="2" borderId="1" xfId="0" applyFont="1" applyFill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1" fontId="0" fillId="0" borderId="4" xfId="0" applyNumberFormat="1" applyBorder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11" fontId="0" fillId="3" borderId="9" xfId="0" applyNumberFormat="1" applyFill="1" applyBorder="1" applyAlignment="1">
      <alignment horizontal="center" vertical="center"/>
    </xf>
    <xf numFmtId="11" fontId="0" fillId="3" borderId="10" xfId="0" applyNumberFormat="1" applyFill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2" xfId="0" applyBorder="1"/>
    <xf numFmtId="0" fontId="3" fillId="0" borderId="4" xfId="0" applyFont="1" applyBorder="1" applyAlignment="1">
      <alignment horizontal="center" vertical="center"/>
    </xf>
    <xf numFmtId="11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3" fillId="0" borderId="9" xfId="0" applyFont="1" applyBorder="1" applyAlignment="1">
      <alignment horizontal="center" vertical="center"/>
    </xf>
    <xf numFmtId="11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9" fontId="3" fillId="0" borderId="13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1" fontId="0" fillId="0" borderId="21" xfId="0" applyNumberFormat="1" applyBorder="1"/>
    <xf numFmtId="11" fontId="0" fillId="0" borderId="22" xfId="0" applyNumberFormat="1" applyBorder="1"/>
    <xf numFmtId="11" fontId="0" fillId="0" borderId="5" xfId="0" applyNumberFormat="1" applyBorder="1"/>
    <xf numFmtId="11" fontId="0" fillId="0" borderId="23" xfId="0" applyNumberFormat="1" applyBorder="1"/>
    <xf numFmtId="11" fontId="0" fillId="0" borderId="24" xfId="0" applyNumberFormat="1" applyBorder="1"/>
    <xf numFmtId="11" fontId="0" fillId="0" borderId="7" xfId="0" applyNumberFormat="1" applyBorder="1"/>
    <xf numFmtId="11" fontId="0" fillId="3" borderId="9" xfId="0" applyNumberFormat="1" applyFill="1" applyBorder="1"/>
    <xf numFmtId="11" fontId="2" fillId="4" borderId="25" xfId="0" applyNumberFormat="1" applyFont="1" applyFill="1" applyBorder="1"/>
    <xf numFmtId="11" fontId="0" fillId="3" borderId="26" xfId="0" applyNumberFormat="1" applyFill="1" applyBorder="1"/>
    <xf numFmtId="11" fontId="2" fillId="4" borderId="10" xfId="0" applyNumberFormat="1" applyFont="1" applyFill="1" applyBorder="1"/>
    <xf numFmtId="0" fontId="0" fillId="0" borderId="14" xfId="0" applyBorder="1"/>
    <xf numFmtId="0" fontId="3" fillId="0" borderId="13" xfId="0" applyFont="1" applyBorder="1" applyAlignment="1">
      <alignment horizontal="center" vertical="center" wrapText="1"/>
    </xf>
    <xf numFmtId="164" fontId="0" fillId="0" borderId="5" xfId="1" applyNumberFormat="1" applyFont="1" applyBorder="1"/>
    <xf numFmtId="164" fontId="0" fillId="0" borderId="7" xfId="1" applyNumberFormat="1" applyFont="1" applyBorder="1"/>
    <xf numFmtId="164" fontId="0" fillId="0" borderId="10" xfId="1" applyNumberFormat="1" applyFont="1" applyBorder="1"/>
    <xf numFmtId="11" fontId="0" fillId="5" borderId="1" xfId="0" applyNumberFormat="1" applyFill="1" applyBorder="1"/>
    <xf numFmtId="164" fontId="0" fillId="5" borderId="7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1" fontId="0" fillId="0" borderId="1" xfId="0" applyNumberFormat="1" applyFill="1" applyBorder="1"/>
    <xf numFmtId="0" fontId="3" fillId="0" borderId="28" xfId="0" applyFont="1" applyBorder="1" applyAlignment="1">
      <alignment horizontal="center" vertical="center"/>
    </xf>
    <xf numFmtId="11" fontId="0" fillId="0" borderId="28" xfId="0" applyNumberFormat="1" applyBorder="1"/>
    <xf numFmtId="164" fontId="0" fillId="0" borderId="29" xfId="1" applyNumberFormat="1" applyFont="1" applyBorder="1"/>
    <xf numFmtId="0" fontId="3" fillId="0" borderId="30" xfId="0" applyFont="1" applyBorder="1" applyAlignment="1">
      <alignment horizontal="center" vertical="center"/>
    </xf>
    <xf numFmtId="11" fontId="0" fillId="0" borderId="30" xfId="0" applyNumberFormat="1" applyBorder="1"/>
    <xf numFmtId="164" fontId="0" fillId="0" borderId="27" xfId="1" applyNumberFormat="1" applyFont="1" applyBorder="1"/>
    <xf numFmtId="11" fontId="0" fillId="6" borderId="4" xfId="0" applyNumberFormat="1" applyFill="1" applyBorder="1"/>
    <xf numFmtId="164" fontId="0" fillId="6" borderId="5" xfId="0" applyNumberFormat="1" applyFill="1" applyBorder="1"/>
    <xf numFmtId="11" fontId="0" fillId="6" borderId="4" xfId="0" applyNumberFormat="1" applyFill="1" applyBorder="1" applyAlignment="1">
      <alignment horizontal="center" vertical="center"/>
    </xf>
    <xf numFmtId="11" fontId="0" fillId="6" borderId="1" xfId="0" applyNumberFormat="1" applyFill="1" applyBorder="1" applyAlignment="1">
      <alignment horizontal="center" vertical="center"/>
    </xf>
    <xf numFmtId="11" fontId="0" fillId="6" borderId="9" xfId="0" applyNumberFormat="1" applyFill="1" applyBorder="1" applyAlignment="1">
      <alignment horizontal="center" vertical="center"/>
    </xf>
    <xf numFmtId="11" fontId="0" fillId="6" borderId="1" xfId="0" applyNumberFormat="1" applyFill="1" applyBorder="1"/>
    <xf numFmtId="164" fontId="0" fillId="6" borderId="7" xfId="0" applyNumberFormat="1" applyFill="1" applyBorder="1"/>
    <xf numFmtId="164" fontId="0" fillId="6" borderId="7" xfId="1" applyNumberFormat="1" applyFont="1" applyFill="1" applyBorder="1"/>
    <xf numFmtId="11" fontId="0" fillId="6" borderId="9" xfId="0" applyNumberFormat="1" applyFill="1" applyBorder="1"/>
    <xf numFmtId="165" fontId="0" fillId="0" borderId="1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1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1" fontId="3" fillId="0" borderId="1" xfId="0" applyNumberFormat="1" applyFont="1" applyBorder="1"/>
    <xf numFmtId="11" fontId="3" fillId="0" borderId="7" xfId="0" applyNumberFormat="1" applyFont="1" applyBorder="1"/>
    <xf numFmtId="0" fontId="3" fillId="0" borderId="7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1" fontId="3" fillId="0" borderId="9" xfId="0" applyNumberFormat="1" applyFont="1" applyBorder="1"/>
    <xf numFmtId="11" fontId="3" fillId="0" borderId="10" xfId="0" applyNumberFormat="1" applyFont="1" applyBorder="1"/>
    <xf numFmtId="0" fontId="3" fillId="0" borderId="0" xfId="0" applyFont="1" applyBorder="1" applyAlignment="1">
      <alignment horizontal="center" vertical="center"/>
    </xf>
    <xf numFmtId="11" fontId="3" fillId="0" borderId="31" xfId="0" applyNumberFormat="1" applyFont="1" applyBorder="1"/>
    <xf numFmtId="11" fontId="3" fillId="0" borderId="32" xfId="0" applyNumberFormat="1" applyFont="1" applyBorder="1"/>
    <xf numFmtId="11" fontId="3" fillId="0" borderId="0" xfId="0" applyNumberFormat="1" applyFont="1" applyBorder="1"/>
    <xf numFmtId="0" fontId="3" fillId="0" borderId="11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1" fontId="3" fillId="0" borderId="0" xfId="0" applyNumberFormat="1" applyFont="1" applyFill="1" applyBorder="1"/>
    <xf numFmtId="0" fontId="0" fillId="0" borderId="11" xfId="0" applyBorder="1"/>
    <xf numFmtId="49" fontId="9" fillId="0" borderId="0" xfId="0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0" xfId="0" applyFont="1"/>
    <xf numFmtId="0" fontId="3" fillId="8" borderId="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11" fontId="3" fillId="0" borderId="4" xfId="0" applyNumberFormat="1" applyFont="1" applyBorder="1"/>
    <xf numFmtId="11" fontId="3" fillId="0" borderId="5" xfId="0" applyNumberFormat="1" applyFont="1" applyBorder="1"/>
    <xf numFmtId="11" fontId="0" fillId="0" borderId="0" xfId="0" applyNumberFormat="1" applyFill="1" applyBorder="1"/>
    <xf numFmtId="11" fontId="11" fillId="0" borderId="5" xfId="0" applyNumberFormat="1" applyFont="1" applyBorder="1"/>
    <xf numFmtId="11" fontId="11" fillId="0" borderId="7" xfId="0" applyNumberFormat="1" applyFont="1" applyBorder="1"/>
    <xf numFmtId="11" fontId="9" fillId="3" borderId="9" xfId="0" applyNumberFormat="1" applyFont="1" applyFill="1" applyBorder="1"/>
    <xf numFmtId="11" fontId="9" fillId="3" borderId="10" xfId="0" applyNumberFormat="1" applyFont="1" applyFill="1" applyBorder="1"/>
    <xf numFmtId="11" fontId="6" fillId="0" borderId="0" xfId="0" applyNumberFormat="1" applyFont="1" applyFill="1" applyBorder="1"/>
    <xf numFmtId="11" fontId="12" fillId="3" borderId="10" xfId="0" applyNumberFormat="1" applyFont="1" applyFill="1" applyBorder="1"/>
    <xf numFmtId="11" fontId="11" fillId="0" borderId="4" xfId="0" applyNumberFormat="1" applyFont="1" applyBorder="1"/>
    <xf numFmtId="11" fontId="11" fillId="0" borderId="1" xfId="0" applyNumberFormat="1" applyFont="1" applyBorder="1"/>
    <xf numFmtId="11" fontId="12" fillId="3" borderId="9" xfId="0" applyNumberFormat="1" applyFont="1" applyFill="1" applyBorder="1"/>
    <xf numFmtId="11" fontId="3" fillId="6" borderId="4" xfId="0" applyNumberFormat="1" applyFont="1" applyFill="1" applyBorder="1"/>
    <xf numFmtId="11" fontId="3" fillId="6" borderId="5" xfId="0" applyNumberFormat="1" applyFont="1" applyFill="1" applyBorder="1"/>
    <xf numFmtId="11" fontId="3" fillId="6" borderId="1" xfId="0" applyNumberFormat="1" applyFont="1" applyFill="1" applyBorder="1"/>
    <xf numFmtId="11" fontId="3" fillId="6" borderId="7" xfId="0" applyNumberFormat="1" applyFont="1" applyFill="1" applyBorder="1"/>
    <xf numFmtId="11" fontId="9" fillId="6" borderId="9" xfId="0" applyNumberFormat="1" applyFont="1" applyFill="1" applyBorder="1"/>
    <xf numFmtId="11" fontId="9" fillId="6" borderId="10" xfId="0" applyNumberFormat="1" applyFont="1" applyFill="1" applyBorder="1"/>
    <xf numFmtId="0" fontId="3" fillId="0" borderId="3" xfId="0" applyFont="1" applyBorder="1"/>
    <xf numFmtId="0" fontId="0" fillId="0" borderId="34" xfId="0" applyBorder="1"/>
    <xf numFmtId="0" fontId="3" fillId="8" borderId="34" xfId="0" applyFont="1" applyFill="1" applyBorder="1" applyAlignment="1">
      <alignment horizontal="center" vertical="center"/>
    </xf>
    <xf numFmtId="9" fontId="3" fillId="8" borderId="35" xfId="1" applyFont="1" applyFill="1" applyBorder="1" applyAlignment="1">
      <alignment horizontal="center" vertical="center"/>
    </xf>
    <xf numFmtId="0" fontId="0" fillId="0" borderId="0" xfId="0" applyBorder="1"/>
    <xf numFmtId="0" fontId="3" fillId="9" borderId="34" xfId="0" applyFont="1" applyFill="1" applyBorder="1" applyAlignment="1">
      <alignment horizontal="center" vertical="center"/>
    </xf>
    <xf numFmtId="9" fontId="3" fillId="9" borderId="35" xfId="1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9" fontId="3" fillId="10" borderId="3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5" xfId="1" applyNumberFormat="1" applyFont="1" applyBorder="1"/>
    <xf numFmtId="164" fontId="3" fillId="0" borderId="7" xfId="1" applyNumberFormat="1" applyFont="1" applyBorder="1"/>
    <xf numFmtId="0" fontId="3" fillId="0" borderId="9" xfId="0" applyFont="1" applyFill="1" applyBorder="1" applyAlignment="1">
      <alignment horizontal="center" vertical="center"/>
    </xf>
    <xf numFmtId="164" fontId="3" fillId="0" borderId="10" xfId="1" applyNumberFormat="1" applyFont="1" applyBorder="1"/>
    <xf numFmtId="0" fontId="11" fillId="0" borderId="9" xfId="0" applyFont="1" applyFill="1" applyBorder="1" applyAlignment="1">
      <alignment horizontal="center" vertical="center"/>
    </xf>
    <xf numFmtId="11" fontId="11" fillId="0" borderId="9" xfId="0" applyNumberFormat="1" applyFont="1" applyBorder="1"/>
    <xf numFmtId="164" fontId="11" fillId="0" borderId="10" xfId="1" applyNumberFormat="1" applyFont="1" applyBorder="1"/>
    <xf numFmtId="0" fontId="11" fillId="0" borderId="4" xfId="0" applyFont="1" applyFill="1" applyBorder="1" applyAlignment="1">
      <alignment horizontal="center" vertical="center"/>
    </xf>
    <xf numFmtId="164" fontId="11" fillId="0" borderId="5" xfId="1" applyNumberFormat="1" applyFont="1" applyBorder="1"/>
    <xf numFmtId="11" fontId="11" fillId="6" borderId="4" xfId="0" applyNumberFormat="1" applyFont="1" applyFill="1" applyBorder="1"/>
    <xf numFmtId="164" fontId="11" fillId="6" borderId="5" xfId="1" applyNumberFormat="1" applyFont="1" applyFill="1" applyBorder="1"/>
    <xf numFmtId="11" fontId="11" fillId="6" borderId="1" xfId="0" applyNumberFormat="1" applyFont="1" applyFill="1" applyBorder="1"/>
    <xf numFmtId="164" fontId="11" fillId="6" borderId="7" xfId="1" applyNumberFormat="1" applyFont="1" applyFill="1" applyBorder="1"/>
    <xf numFmtId="11" fontId="11" fillId="6" borderId="9" xfId="0" applyNumberFormat="1" applyFont="1" applyFill="1" applyBorder="1"/>
    <xf numFmtId="164" fontId="11" fillId="6" borderId="10" xfId="1" applyNumberFormat="1" applyFont="1" applyFill="1" applyBorder="1"/>
    <xf numFmtId="0" fontId="0" fillId="0" borderId="22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0" fillId="7" borderId="39" xfId="0" applyFill="1" applyBorder="1"/>
    <xf numFmtId="0" fontId="3" fillId="7" borderId="0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0" fillId="0" borderId="39" xfId="0" applyBorder="1"/>
    <xf numFmtId="0" fontId="0" fillId="0" borderId="0" xfId="0" applyBorder="1" applyAlignment="1">
      <alignment horizontal="center" vertical="center"/>
    </xf>
    <xf numFmtId="11" fontId="0" fillId="0" borderId="0" xfId="0" applyNumberFormat="1" applyBorder="1"/>
    <xf numFmtId="11" fontId="0" fillId="0" borderId="40" xfId="0" applyNumberFormat="1" applyBorder="1"/>
    <xf numFmtId="0" fontId="0" fillId="11" borderId="39" xfId="0" applyFill="1" applyBorder="1"/>
    <xf numFmtId="0" fontId="3" fillId="11" borderId="0" xfId="0" applyFont="1" applyFill="1" applyBorder="1" applyAlignment="1">
      <alignment horizontal="center" vertical="center"/>
    </xf>
    <xf numFmtId="0" fontId="3" fillId="11" borderId="40" xfId="0" applyFont="1" applyFill="1" applyBorder="1" applyAlignment="1">
      <alignment horizontal="center" vertical="center"/>
    </xf>
    <xf numFmtId="0" fontId="0" fillId="0" borderId="41" xfId="0" applyBorder="1"/>
    <xf numFmtId="0" fontId="0" fillId="0" borderId="42" xfId="0" applyBorder="1" applyAlignment="1">
      <alignment horizontal="center" vertical="center"/>
    </xf>
    <xf numFmtId="11" fontId="0" fillId="0" borderId="42" xfId="0" applyNumberFormat="1" applyBorder="1"/>
    <xf numFmtId="11" fontId="0" fillId="0" borderId="43" xfId="0" applyNumberFormat="1" applyBorder="1"/>
    <xf numFmtId="0" fontId="0" fillId="9" borderId="39" xfId="0" applyFill="1" applyBorder="1"/>
    <xf numFmtId="0" fontId="3" fillId="9" borderId="0" xfId="0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0" fillId="12" borderId="39" xfId="0" applyFill="1" applyBorder="1"/>
    <xf numFmtId="0" fontId="3" fillId="12" borderId="0" xfId="0" applyFont="1" applyFill="1" applyBorder="1" applyAlignment="1">
      <alignment horizontal="center" vertical="center"/>
    </xf>
    <xf numFmtId="0" fontId="3" fillId="12" borderId="40" xfId="0" applyFont="1" applyFill="1" applyBorder="1" applyAlignment="1">
      <alignment horizontal="center" vertical="center"/>
    </xf>
    <xf numFmtId="0" fontId="0" fillId="3" borderId="39" xfId="0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1" fontId="0" fillId="0" borderId="40" xfId="0" applyNumberFormat="1" applyFont="1" applyFill="1" applyBorder="1" applyAlignment="1">
      <alignment horizontal="right" vertical="center"/>
    </xf>
    <xf numFmtId="11" fontId="0" fillId="0" borderId="40" xfId="0" applyNumberFormat="1" applyBorder="1" applyAlignment="1">
      <alignment horizontal="right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" fillId="7" borderId="22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11" fontId="2" fillId="0" borderId="0" xfId="0" applyNumberFormat="1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9" fontId="3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textRotation="90"/>
    </xf>
    <xf numFmtId="164" fontId="0" fillId="0" borderId="0" xfId="1" applyNumberFormat="1" applyFont="1" applyFill="1" applyBorder="1"/>
    <xf numFmtId="0" fontId="0" fillId="0" borderId="0" xfId="0" applyFill="1"/>
    <xf numFmtId="11" fontId="0" fillId="0" borderId="0" xfId="0" applyNumberFormat="1" applyFont="1" applyFill="1" applyBorder="1" applyAlignment="1">
      <alignment horizontal="right" vertical="center"/>
    </xf>
    <xf numFmtId="11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9" fillId="8" borderId="33" xfId="0" applyNumberFormat="1" applyFont="1" applyFill="1" applyBorder="1" applyAlignment="1">
      <alignment horizontal="center"/>
    </xf>
    <xf numFmtId="49" fontId="9" fillId="8" borderId="17" xfId="0" applyNumberFormat="1" applyFont="1" applyFill="1" applyBorder="1" applyAlignment="1">
      <alignment horizontal="center"/>
    </xf>
    <xf numFmtId="49" fontId="9" fillId="8" borderId="18" xfId="0" applyNumberFormat="1" applyFont="1" applyFill="1" applyBorder="1" applyAlignment="1">
      <alignment horizontal="center"/>
    </xf>
    <xf numFmtId="49" fontId="9" fillId="9" borderId="33" xfId="0" applyNumberFormat="1" applyFont="1" applyFill="1" applyBorder="1" applyAlignment="1">
      <alignment horizontal="center"/>
    </xf>
    <xf numFmtId="49" fontId="9" fillId="9" borderId="17" xfId="0" applyNumberFormat="1" applyFont="1" applyFill="1" applyBorder="1" applyAlignment="1">
      <alignment horizontal="center"/>
    </xf>
    <xf numFmtId="49" fontId="9" fillId="9" borderId="18" xfId="0" applyNumberFormat="1" applyFont="1" applyFill="1" applyBorder="1" applyAlignment="1">
      <alignment horizontal="center"/>
    </xf>
    <xf numFmtId="49" fontId="9" fillId="10" borderId="33" xfId="0" applyNumberFormat="1" applyFont="1" applyFill="1" applyBorder="1" applyAlignment="1">
      <alignment horizontal="center"/>
    </xf>
    <xf numFmtId="49" fontId="9" fillId="10" borderId="17" xfId="0" applyNumberFormat="1" applyFont="1" applyFill="1" applyBorder="1" applyAlignment="1">
      <alignment horizontal="center"/>
    </xf>
    <xf numFmtId="49" fontId="9" fillId="10" borderId="18" xfId="0" applyNumberFormat="1" applyFon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4"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269343</xdr:colOff>
      <xdr:row>29</xdr:row>
      <xdr:rowOff>1</xdr:rowOff>
    </xdr:from>
    <xdr:ext cx="9422343" cy="2452688"/>
    <xdr:sp macro="" textlink="">
      <xdr:nvSpPr>
        <xdr:cNvPr id="2" name="TextBox 1"/>
        <xdr:cNvSpPr txBox="1"/>
      </xdr:nvSpPr>
      <xdr:spPr>
        <a:xfrm>
          <a:off x="4936593" y="6000751"/>
          <a:ext cx="9422343" cy="245268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latin typeface="+mn-lt"/>
            </a:rPr>
            <a:t>Ingestion of soil</a:t>
          </a:r>
        </a:p>
        <a:p>
          <a:pPr algn="l"/>
          <a:r>
            <a:rPr lang="en-US" sz="1100" b="0" i="0">
              <a:latin typeface="Cambria Math"/>
            </a:rPr>
            <a:t>"PR" </a:t>
          </a:r>
          <a:r>
            <a:rPr lang="en-US" sz="1100" b="0" i="0">
              <a:latin typeface="Calibri" panose="020F0502020204030204" pitchFamily="34" charset="0"/>
            </a:rPr>
            <a:t>"G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iw−soil−ing</a:t>
          </a:r>
          <a:r>
            <a:rPr lang="en-US" sz="1100" b="0" i="0">
              <a:latin typeface="Cambria Math"/>
            </a:rPr>
            <a:t>"  ("</a:t>
          </a:r>
          <a:r>
            <a:rPr lang="en-US" sz="1100" b="0" i="0">
              <a:latin typeface="Calibri" panose="020F0502020204030204" pitchFamily="34" charset="0"/>
            </a:rPr>
            <a:t>pCi</a:t>
          </a:r>
          <a:r>
            <a:rPr lang="en-US" sz="1100" b="0" i="0">
              <a:latin typeface="Cambria Math"/>
            </a:rPr>
            <a:t>" ∕"</a:t>
          </a:r>
          <a:r>
            <a:rPr lang="en-US" sz="1100" b="0" i="0">
              <a:latin typeface="Calibri" panose="020F0502020204030204" pitchFamily="34" charset="0"/>
            </a:rPr>
            <a:t>g</a:t>
          </a:r>
          <a:r>
            <a:rPr lang="en-US" sz="1100" b="0" i="0">
              <a:latin typeface="Cambria Math"/>
            </a:rPr>
            <a:t>" )"=</a:t>
          </a:r>
          <a:r>
            <a:rPr lang="en-US" sz="1100" b="0" i="0">
              <a:latin typeface="Cambria Math"/>
              <a:ea typeface="Cambria Math"/>
            </a:rPr>
            <a:t>" 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TR x 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iw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λ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))/(("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1−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>
              <a:latin typeface="Cambria Math"/>
              <a:ea typeface="Cambria Math"/>
            </a:rPr>
            <a:t>" ^("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−λ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iw</a:t>
          </a:r>
          <a:r>
            <a:rPr lang="en-US" sz="1100" b="0" i="0">
              <a:latin typeface="Cambria Math"/>
              <a:ea typeface="Cambria Math"/>
            </a:rPr>
            <a:t>"  )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S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s</a:t>
          </a:r>
          <a:r>
            <a:rPr lang="en-US" sz="1100" b="0" i="0">
              <a:latin typeface="Cambria Math"/>
              <a:ea typeface="Cambria Math"/>
            </a:rPr>
            <a:t>" 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iw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250 day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iw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 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IR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S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iw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50 mg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g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1000 mg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 </a:t>
          </a:r>
          <a:r>
            <a:rPr lang="en-US" sz="1100" b="0" i="0">
              <a:latin typeface="Cambria Math"/>
              <a:ea typeface="Cambria Math"/>
            </a:rPr>
            <a:t>" )</a:t>
          </a:r>
          <a:r>
            <a:rPr lang="en-US" sz="1100">
              <a:latin typeface="Calibri" panose="020F0502020204030204" pitchFamily="34" charset="0"/>
            </a:rPr>
            <a:t> </a:t>
          </a: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Inhalation of particulates emitted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from soil</a:t>
          </a:r>
          <a:endParaRPr lang="en-US">
            <a:effectLst/>
          </a:endParaRPr>
        </a:p>
        <a:p>
          <a:pPr algn="l"/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_"iw−soil−inh" 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_"iw"  " " ("yr" )" x λ " ("1" /"yr" )┤/(("1−" "e" ^("−λ" "t" _"iw"  ) )" x S" "F" _"i"  " " ("risk" /"pCi" )" x E" "F" _"iw"  " " ("250 day" /"yr" )" x E" "D" _"iw"  " " ("25 yr" )" x E" "T" _"iw"  " " ("8 hrs" /"day" )" x " ("1 day" /"24 hrs" )" x IR" "A" _"iw"  " " (("60 " "m" ^"3" )/"day" )" x " ("1" /"PEF" ("m" ^"3" /"kg" ) )" x " ("1000g" /"kg" ) )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exposure to ionizing radiation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"PRGiw−soil−ext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_"iw"  " " ("yr" )" x λ " ("1" /"yr" )┤/(("1−" "e" ^("−λ" "t" _"iw"  ) )" x S" "F" _"ext−sv"  " " (("risk" ⁄"yr" )/├ "pCi" ⁄"g" ┤ )" x E" "F" _"iw"  " " ("250 day" /"yr" )" x " ("1yr" /"365 days" )" x E" "D" _"iw"  " " ("25 yr" )" x " ├ ├ "E" "T" _"iw"  " " ("8 hrs" /"day" )" x " ("1 day" /"24 hr" )" x GS" "F" _"i"  " " ("0.4" )  "x AC" "F" _"ext−sv"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_"iw−soil−tot"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_"iw−soil−ing"  ))"+" ("1" /("PR" "G" _"iw−soil−inh"  ))"+" ("1" /("PR" "G" _"iw−soil−ext"  )) </a:t>
          </a:r>
          <a:endParaRPr lang="en-US">
            <a:effectLst/>
          </a:endParaRPr>
        </a:p>
        <a:p>
          <a:r>
            <a:rPr lang="en-US" sz="1100">
              <a:latin typeface="Calibri" panose="020F0502020204030204" pitchFamily="34" charset="0"/>
            </a:rPr>
            <a:t>  </a:t>
          </a:r>
        </a:p>
        <a:p>
          <a:pPr algn="l"/>
          <a:endParaRPr lang="en-US" sz="1100">
            <a:latin typeface="+mn-lt"/>
          </a:endParaRPr>
        </a:p>
      </xdr:txBody>
    </xdr:sp>
    <xdr:clientData/>
  </xdr:oneCellAnchor>
  <xdr:oneCellAnchor>
    <xdr:from>
      <xdr:col>5</xdr:col>
      <xdr:colOff>338138</xdr:colOff>
      <xdr:row>42</xdr:row>
      <xdr:rowOff>157162</xdr:rowOff>
    </xdr:from>
    <xdr:ext cx="9153525" cy="1866901"/>
    <xdr:sp macro="" textlink="">
      <xdr:nvSpPr>
        <xdr:cNvPr id="6" name="TextBox 5"/>
        <xdr:cNvSpPr txBox="1"/>
      </xdr:nvSpPr>
      <xdr:spPr>
        <a:xfrm>
          <a:off x="3481388" y="8634412"/>
          <a:ext cx="9153525" cy="186690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Inhalation (with half-life</a:t>
          </a:r>
          <a:r>
            <a:rPr lang="en-US" sz="1100" b="1" u="sng" baseline="0"/>
            <a:t> decay)</a:t>
          </a:r>
        </a:p>
        <a:p>
          <a:r>
            <a:rPr lang="en-US" sz="1100" b="0" i="0">
              <a:latin typeface="Cambria Math"/>
            </a:rPr>
            <a:t>"PR" </a:t>
          </a:r>
          <a:r>
            <a:rPr lang="en-US" sz="1100" b="0" i="0">
              <a:latin typeface="Calibri" panose="020F0502020204030204" pitchFamily="34" charset="0"/>
            </a:rPr>
            <a:t>"G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iw−air−inh−decay</a:t>
          </a:r>
          <a:r>
            <a:rPr lang="en-US" sz="1100" b="0" i="0">
              <a:latin typeface="Cambria Math"/>
            </a:rPr>
            <a:t>"  " " ("</a:t>
          </a:r>
          <a:r>
            <a:rPr lang="en-US" sz="1100" b="0" i="0">
              <a:latin typeface="Calibri" panose="020F0502020204030204" pitchFamily="34" charset="0"/>
            </a:rPr>
            <a:t>pCi</a:t>
          </a:r>
          <a:r>
            <a:rPr lang="en-US" sz="1100" b="0" i="0">
              <a:latin typeface="Cambria Math"/>
            </a:rPr>
            <a:t>" ∕"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 )"=</a:t>
          </a:r>
          <a:r>
            <a:rPr lang="en-US" sz="1100" b="0" i="0">
              <a:latin typeface="Cambria Math"/>
              <a:ea typeface="Cambria Math"/>
            </a:rPr>
            <a:t>" </a:t>
          </a:r>
          <a:r>
            <a:rPr lang="en-US" sz="1100" b="0" i="0">
              <a:latin typeface="Cambria Math"/>
            </a:rPr>
            <a:t> ├ "</a:t>
          </a:r>
          <a:r>
            <a:rPr lang="en-US" sz="1100" b="0" i="0">
              <a:latin typeface="Calibri" panose="020F0502020204030204" pitchFamily="34" charset="0"/>
            </a:rPr>
            <a:t>TR x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t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λ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)┤/(("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1−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>
              <a:latin typeface="Cambria Math"/>
              <a:ea typeface="Cambria Math"/>
            </a:rPr>
            <a:t>" ^("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−λ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S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i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250 day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 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8 hr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 day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24 hours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IR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A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60 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m</a:t>
          </a:r>
          <a:r>
            <a:rPr lang="en-US" sz="1100" b="0" i="0">
              <a:latin typeface="Cambria Math"/>
              <a:ea typeface="Cambria Math"/>
            </a:rPr>
            <a:t>" ^"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3</a:t>
          </a:r>
          <a:r>
            <a:rPr lang="en-US" sz="1100" b="0" i="0">
              <a:latin typeface="Cambria Math"/>
              <a:ea typeface="Cambria Math"/>
            </a:rPr>
            <a:t>" )/"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>
              <a:latin typeface="Cambria Math"/>
              <a:ea typeface="Cambria Math"/>
            </a:rPr>
            <a:t>" ) 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(with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_"iw−air−sub−decay"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_"iw"  " " ("yr" )" x λ " ("1" /"yr" )┤/(("1−" "e" ^("−λ" "t" _"iw"  ) )" x S" "F" _"sub"  " " (("risk" ∕"yr" )/("pCi" ∕"m" ^"3"  ))" x E" "F" _"iw"  " " ("250 day" /"yr" )" x " (├ "1 yr" ┤/"365 days" )" x E" "D" _"iw"  " " ("25 yr" )" x E" "T" _"iw"  " " ("8 hr" /"day" )" x " ("1 day" /"24 hrs" )" x GS" "F" _"a"  " " ("1.0" )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_"iw−air−tot−decay"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_"iw−air−inh−decay"  ) "+"  "1" /("PR" "G" _"iw−air−sub−decay"  ) " " )</a:t>
          </a:r>
          <a:endParaRPr lang="en-US">
            <a:effectLst/>
          </a:endParaRPr>
        </a:p>
        <a:p>
          <a:endParaRPr lang="en-US" sz="1100">
            <a:latin typeface="Calibri" panose="020F0502020204030204" pitchFamily="34" charset="0"/>
          </a:endParaRPr>
        </a:p>
      </xdr:txBody>
    </xdr:sp>
    <xdr:clientData/>
  </xdr:oneCellAnchor>
  <xdr:oneCellAnchor>
    <xdr:from>
      <xdr:col>5</xdr:col>
      <xdr:colOff>333375</xdr:colOff>
      <xdr:row>54</xdr:row>
      <xdr:rowOff>105304</xdr:rowOff>
    </xdr:from>
    <xdr:ext cx="9163050" cy="1490134"/>
    <xdr:sp macro="" textlink="">
      <xdr:nvSpPr>
        <xdr:cNvPr id="9" name="TextBox 8"/>
        <xdr:cNvSpPr txBox="1"/>
      </xdr:nvSpPr>
      <xdr:spPr>
        <a:xfrm>
          <a:off x="3476625" y="10868554"/>
          <a:ext cx="9163050" cy="149013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Inhalation (without half-life</a:t>
          </a:r>
          <a:r>
            <a:rPr lang="en-US" sz="1100" b="1" u="sng" baseline="0"/>
            <a:t> decay)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"iw−air−inh−nodecay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"25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hours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"60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_"iw−air−sub−nodecay"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"TR" ┤/("S" "F" _"sub"  " " (("risk" ∕"yr" )/("pCi" ∕"m" ^"3"  ))" x E" "F" _"iw"  " " ("250 day" /"yr" )" x " (├ "1 yr" ┤/"365 days" )" x E" "D" _"iw"  " " ("25 yr" )" x E" "T" _"iw"  " " ("8 hr" /"day" )" x " ("1 day" /"24 hrs" )" x GS" "F" _"a"  " " ("1.0" )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_"iw−air−tot−nodecay"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_"iw−air−inh−nodecay"  ) "+"  "1" /("PR" "G" _"iw−air−sub−nodecay"  ) " " )</a:t>
          </a:r>
          <a:endParaRPr lang="en-US">
            <a:effectLst/>
          </a:endParaRPr>
        </a:p>
        <a:p>
          <a:endParaRPr lang="en-US" sz="1100">
            <a:latin typeface="Calibri" panose="020F0502020204030204" pitchFamily="34" charset="0"/>
          </a:endParaRPr>
        </a:p>
      </xdr:txBody>
    </xdr:sp>
    <xdr:clientData/>
  </xdr:oneCellAnchor>
  <xdr:oneCellAnchor>
    <xdr:from>
      <xdr:col>14</xdr:col>
      <xdr:colOff>309563</xdr:colOff>
      <xdr:row>1</xdr:row>
      <xdr:rowOff>95250</xdr:rowOff>
    </xdr:from>
    <xdr:ext cx="4876800" cy="1616725"/>
    <xdr:sp macro="" textlink="">
      <xdr:nvSpPr>
        <xdr:cNvPr id="12" name="TextBox 11"/>
        <xdr:cNvSpPr txBox="1"/>
      </xdr:nvSpPr>
      <xdr:spPr>
        <a:xfrm>
          <a:off x="9739313" y="285750"/>
          <a:ext cx="4876800" cy="161672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u="sng"/>
            <a:t>Particulate Emission Factor</a:t>
          </a:r>
          <a:r>
            <a:rPr lang="en-US" sz="1100" b="1" u="sng" baseline="0"/>
            <a:t> - Wind</a:t>
          </a:r>
        </a:p>
        <a:p>
          <a:r>
            <a:rPr lang="en-US" sz="1100" b="0" i="0">
              <a:latin typeface="Cambria Math"/>
            </a:rPr>
            <a:t>"PE" </a:t>
          </a:r>
          <a:r>
            <a:rPr lang="en-US" sz="1100" b="0" i="0">
              <a:latin typeface="+mn-lt"/>
            </a:rPr>
            <a:t>"F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 " ((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"air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"3</a:t>
          </a:r>
          <a:r>
            <a:rPr lang="en-US" sz="1100" b="0" i="0">
              <a:latin typeface="Cambria Math"/>
            </a:rPr>
            <a:t>" )/(</a:t>
          </a:r>
          <a:r>
            <a:rPr lang="en-US" sz="1100" b="0" i="0">
              <a:latin typeface="+mn-lt"/>
            </a:rPr>
            <a:t>"k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"soil</a:t>
          </a:r>
          <a:r>
            <a:rPr lang="en-US" sz="1100" b="0" i="0">
              <a:latin typeface="Cambria Math"/>
            </a:rPr>
            <a:t>"  ))"=" </a:t>
          </a:r>
          <a:r>
            <a:rPr lang="en-US" sz="1100" b="0" i="0">
              <a:latin typeface="+mn-lt"/>
            </a:rPr>
            <a:t> "Q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"wind</a:t>
          </a:r>
          <a:r>
            <a:rPr lang="en-US" sz="1100" b="0" i="0">
              <a:latin typeface="Cambria Math"/>
            </a:rPr>
            <a:t>" 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 " ((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/(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"2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"−s</a:t>
          </a:r>
          <a:r>
            <a:rPr lang="en-US" sz="1100" b="0" i="0">
              <a:latin typeface="Cambria Math"/>
            </a:rPr>
            <a:t>" ))/(</a:t>
          </a:r>
          <a:r>
            <a:rPr lang="en-US" sz="1100" b="0" i="0">
              <a:latin typeface="+mn-lt"/>
            </a:rPr>
            <a:t>"kg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"3</a:t>
          </a:r>
          <a:r>
            <a:rPr lang="en-US" sz="1100" b="0" i="0">
              <a:latin typeface="Cambria Math"/>
            </a:rPr>
            <a:t>"  ))" x " </a:t>
          </a:r>
          <a:r>
            <a:rPr lang="en-US" sz="1100" b="0" i="0">
              <a:latin typeface="+mn-lt"/>
            </a:rPr>
            <a:t> "3600 </a:t>
          </a:r>
          <a:r>
            <a:rPr lang="en-US" sz="1100" b="0" i="0">
              <a:latin typeface="Cambria Math"/>
            </a:rPr>
            <a:t>" (</a:t>
          </a:r>
          <a:r>
            <a:rPr lang="en-US" sz="1100" b="0" i="0">
              <a:latin typeface="+mn-lt"/>
            </a:rPr>
            <a:t>"s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"hour</a:t>
          </a:r>
          <a:r>
            <a:rPr lang="en-US" sz="1100" b="0" i="0">
              <a:latin typeface="Cambria Math"/>
            </a:rPr>
            <a:t>" 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"0.036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))^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F(x)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endParaRPr lang="en-US" sz="1100" b="0">
            <a:latin typeface="+mn-lt"/>
          </a:endParaRPr>
        </a:p>
        <a:p>
          <a:r>
            <a:rPr lang="en-US" sz="1100" b="0" i="0">
              <a:latin typeface="+mn-lt"/>
            </a:rPr>
            <a:t>"Q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"wind</a:t>
          </a:r>
          <a:r>
            <a:rPr lang="en-US" sz="1100" b="0" i="0">
              <a:latin typeface="Cambria Math"/>
            </a:rPr>
            <a:t>" 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"=A x" </a:t>
          </a:r>
          <a:r>
            <a:rPr lang="en-US" sz="1100" b="0" i="0">
              <a:latin typeface="+mn-lt"/>
            </a:rPr>
            <a:t> "exp</a:t>
          </a:r>
          <a:r>
            <a:rPr lang="en-US" sz="1100" b="0" i="0">
              <a:latin typeface="Cambria Math"/>
            </a:rPr>
            <a:t>" ⁡[(</a:t>
          </a:r>
          <a:r>
            <a:rPr lang="en-US" sz="1100" b="0" i="0">
              <a:latin typeface="+mn-lt"/>
            </a:rPr>
            <a:t>"ln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"A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"s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" </a:t>
          </a:r>
          <a:r>
            <a:rPr lang="en-US" sz="1100" b="0" i="0">
              <a:latin typeface="Cambria Math"/>
            </a:rPr>
            <a:t>" (</a:t>
          </a:r>
          <a:r>
            <a:rPr lang="en-US" sz="1100" b="0" i="0">
              <a:latin typeface="+mn-lt"/>
            </a:rPr>
            <a:t>"acre</a:t>
          </a:r>
          <a:r>
            <a:rPr lang="en-US" sz="1100" b="0" i="0">
              <a:latin typeface="Cambria Math"/>
            </a:rPr>
            <a:t>" )</a:t>
          </a:r>
          <a:r>
            <a:rPr lang="en-US" sz="1100" b="0" i="0">
              <a:latin typeface="+mn-lt"/>
            </a:rPr>
            <a:t>"−B</a:t>
          </a:r>
          <a:r>
            <a:rPr lang="en-US" sz="1100" b="0" i="0">
              <a:latin typeface="Cambria Math"/>
            </a:rPr>
            <a:t>" )^</a:t>
          </a:r>
          <a:r>
            <a:rPr lang="en-US" sz="1100" b="0" i="0">
              <a:latin typeface="+mn-lt"/>
            </a:rPr>
            <a:t>"2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]</a:t>
          </a:r>
          <a:endParaRPr lang="en-US" sz="1100"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150281</xdr:colOff>
      <xdr:row>30</xdr:row>
      <xdr:rowOff>166687</xdr:rowOff>
    </xdr:from>
    <xdr:ext cx="9736668" cy="2405063"/>
    <xdr:sp macro="" textlink="">
      <xdr:nvSpPr>
        <xdr:cNvPr id="2" name="TextBox 1"/>
        <xdr:cNvSpPr txBox="1"/>
      </xdr:nvSpPr>
      <xdr:spPr>
        <a:xfrm>
          <a:off x="4793719" y="6024562"/>
          <a:ext cx="9736668" cy="2405063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latin typeface="+mn-lt"/>
            </a:rPr>
            <a:t>Ingestion of soil</a:t>
          </a:r>
        </a:p>
        <a:p>
          <a:r>
            <a:rPr lang="en-US" sz="1100" b="0" i="0">
              <a:latin typeface="Cambria Math"/>
            </a:rPr>
            <a:t>"PR" </a:t>
          </a:r>
          <a:r>
            <a:rPr lang="en-US" sz="1100" b="0" i="0">
              <a:latin typeface="Calibri" panose="020F0502020204030204" pitchFamily="34" charset="0"/>
            </a:rPr>
            <a:t>"G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ow−soil−ing</a:t>
          </a:r>
          <a:r>
            <a:rPr lang="en-US" sz="1100" b="0" i="0">
              <a:latin typeface="Cambria Math"/>
            </a:rPr>
            <a:t>"  ("</a:t>
          </a:r>
          <a:r>
            <a:rPr lang="en-US" sz="1100" b="0" i="0">
              <a:latin typeface="Calibri" panose="020F0502020204030204" pitchFamily="34" charset="0"/>
            </a:rPr>
            <a:t>pCi</a:t>
          </a:r>
          <a:r>
            <a:rPr lang="en-US" sz="1100" b="0" i="0">
              <a:latin typeface="Cambria Math"/>
            </a:rPr>
            <a:t>" ∕"</a:t>
          </a:r>
          <a:r>
            <a:rPr lang="en-US" sz="1100" b="0" i="0">
              <a:latin typeface="Calibri" panose="020F0502020204030204" pitchFamily="34" charset="0"/>
            </a:rPr>
            <a:t>g</a:t>
          </a:r>
          <a:r>
            <a:rPr lang="en-US" sz="1100" b="0" i="0">
              <a:latin typeface="Cambria Math"/>
            </a:rPr>
            <a:t>" )"=</a:t>
          </a:r>
          <a:r>
            <a:rPr lang="en-US" sz="1100" b="0" i="0">
              <a:latin typeface="Cambria Math"/>
              <a:ea typeface="Cambria Math"/>
            </a:rPr>
            <a:t>" 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TR x 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λ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))/(("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1−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>
              <a:latin typeface="Cambria Math"/>
              <a:ea typeface="Cambria Math"/>
            </a:rPr>
            <a:t>" ^("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−λ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w</a:t>
          </a:r>
          <a:r>
            <a:rPr lang="en-US" sz="1100" b="0" i="0">
              <a:latin typeface="Cambria Math"/>
              <a:ea typeface="Cambria Math"/>
            </a:rPr>
            <a:t>"  )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S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s</a:t>
          </a:r>
          <a:r>
            <a:rPr lang="en-US" sz="1100" b="0" i="0">
              <a:latin typeface="Cambria Math"/>
              <a:ea typeface="Cambria Math"/>
            </a:rPr>
            <a:t>" 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225 day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 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IR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S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w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100 mg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g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1000 mg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 </a:t>
          </a:r>
          <a:r>
            <a:rPr lang="en-US" sz="1100" b="0" i="0">
              <a:latin typeface="Cambria Math"/>
              <a:ea typeface="Cambria Math"/>
            </a:rPr>
            <a:t>" )</a:t>
          </a:r>
          <a:r>
            <a:rPr lang="en-US" sz="1100">
              <a:latin typeface="Calibri" panose="020F0502020204030204" pitchFamily="34" charset="0"/>
            </a:rPr>
            <a:t> </a:t>
          </a: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Inhalation of particulates emitted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from soil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_"ow−soil−inh" 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_"ow"  " " ("yr" )" x λ " ("1" /"yr" )┤/(("1−" "e" ^("−λ" "t" _"ow"  ) )" x S" "F" _"i"  " " ("risk" /"pCi" )" x E" "F" _"ow"  " " ("225 day" /"yr" )" x E" "D" _"ow"  " " ("25 yr" )" x E" "T" _"ow"  " " ("8 hrs" /"day" )" x " ("1 day" /"24 hrs" )" x IR" "A" _"ow"  " " (("60 " "m" ^"3" )/"day" )" x " ("1" /"PEF" ("m" ^"3" /"kg" ) )" x " ("1000g" /"kg" ) )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exposure to ionizing radiation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"PRGo−soil−ext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_"ow"  " " ("yr" )" x λ " ("1" /"yr" )┤/(("1−" "e" ^("−λ" "t" _"ow"  ) )" x S" "F" _"ext−sv"  " " (("risk" ⁄"yr" )/├ "pCi" ⁄"g" ┤ )" x E" "F" _"ow"  " " ("225 day" /"yr" )" x " ("1yr" /"365 days" )" x E" "D" _"ow"  " " ("25 yr" )" x " ├ ├ "E" "T" _"ow"  " " ("8 hrs" /"day" )" x " ("1 day" /"24 hr" )" x GS" "F" _"o"  " " ("1.0" )  "x AC" "F" _"ext−sv"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_"ow−soil−tot"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_"ow−soil−ing"  ))"+" ("1" /("PR" "G" _"ow−soil−inh"  ))"+" ("1" /("PR" "G" _"ow−soil−ext"  )) </a:t>
          </a:r>
          <a:endParaRPr lang="en-US">
            <a:effectLst/>
          </a:endParaRPr>
        </a:p>
        <a:p>
          <a:r>
            <a:rPr lang="en-US" sz="1100">
              <a:latin typeface="Calibri" panose="020F0502020204030204" pitchFamily="34" charset="0"/>
            </a:rPr>
            <a:t>  </a:t>
          </a:r>
        </a:p>
        <a:p>
          <a:pPr algn="l"/>
          <a:endParaRPr lang="en-US" sz="1100">
            <a:latin typeface="+mn-lt"/>
          </a:endParaRPr>
        </a:p>
      </xdr:txBody>
    </xdr:sp>
    <xdr:clientData/>
  </xdr:oneCellAnchor>
  <xdr:oneCellAnchor>
    <xdr:from>
      <xdr:col>5</xdr:col>
      <xdr:colOff>95249</xdr:colOff>
      <xdr:row>44</xdr:row>
      <xdr:rowOff>131761</xdr:rowOff>
    </xdr:from>
    <xdr:ext cx="9153525" cy="1916114"/>
    <xdr:sp macro="" textlink="">
      <xdr:nvSpPr>
        <xdr:cNvPr id="6" name="TextBox 5"/>
        <xdr:cNvSpPr txBox="1"/>
      </xdr:nvSpPr>
      <xdr:spPr>
        <a:xfrm>
          <a:off x="3262312" y="8656636"/>
          <a:ext cx="9153525" cy="191611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Inhalation (with half-life</a:t>
          </a:r>
          <a:r>
            <a:rPr lang="en-US" sz="1100" b="1" u="sng" baseline="0"/>
            <a:t> decay)</a:t>
          </a:r>
        </a:p>
        <a:p>
          <a:r>
            <a:rPr lang="en-US" sz="1100" b="0" i="0">
              <a:latin typeface="Cambria Math"/>
            </a:rPr>
            <a:t>"PR" </a:t>
          </a:r>
          <a:r>
            <a:rPr lang="en-US" sz="1100" b="0" i="0">
              <a:latin typeface="Calibri" panose="020F0502020204030204" pitchFamily="34" charset="0"/>
            </a:rPr>
            <a:t>"G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latin typeface="Calibri" panose="020F0502020204030204" pitchFamily="34" charset="0"/>
            </a:rPr>
            <a:t>−air−inh−decay</a:t>
          </a:r>
          <a:r>
            <a:rPr lang="en-US" sz="1100" b="0" i="0">
              <a:latin typeface="Cambria Math"/>
            </a:rPr>
            <a:t>"  " " ("</a:t>
          </a:r>
          <a:r>
            <a:rPr lang="en-US" sz="1100" b="0" i="0">
              <a:latin typeface="Calibri" panose="020F0502020204030204" pitchFamily="34" charset="0"/>
            </a:rPr>
            <a:t>pCi</a:t>
          </a:r>
          <a:r>
            <a:rPr lang="en-US" sz="1100" b="0" i="0">
              <a:latin typeface="Cambria Math"/>
            </a:rPr>
            <a:t>" ∕"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 )"=</a:t>
          </a:r>
          <a:r>
            <a:rPr lang="en-US" sz="1100" b="0" i="0">
              <a:latin typeface="Cambria Math"/>
              <a:ea typeface="Cambria Math"/>
            </a:rPr>
            <a:t>" </a:t>
          </a:r>
          <a:r>
            <a:rPr lang="en-US" sz="1100" b="0" i="0">
              <a:latin typeface="Cambria Math"/>
            </a:rPr>
            <a:t> ├ "</a:t>
          </a:r>
          <a:r>
            <a:rPr lang="en-US" sz="1100" b="0" i="0">
              <a:latin typeface="Calibri" panose="020F0502020204030204" pitchFamily="34" charset="0"/>
            </a:rPr>
            <a:t>TR x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t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λ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)┤/(("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1−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>
              <a:latin typeface="Cambria Math"/>
              <a:ea typeface="Cambria Math"/>
            </a:rPr>
            <a:t>" ^("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−λ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S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i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250 day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 yr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x E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8 hr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 day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24 hours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IR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A</a:t>
          </a:r>
          <a:r>
            <a:rPr lang="en-US" sz="1100" b="0" i="0">
              <a:latin typeface="Cambria Math"/>
              <a:ea typeface="Cambria Math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60 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m</a:t>
          </a:r>
          <a:r>
            <a:rPr lang="en-US" sz="1100" b="0" i="0">
              <a:latin typeface="Cambria Math"/>
              <a:ea typeface="Cambria Math"/>
            </a:rPr>
            <a:t>" ^"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3</a:t>
          </a:r>
          <a:r>
            <a:rPr lang="en-US" sz="1100" b="0" i="0">
              <a:latin typeface="Cambria Math"/>
              <a:ea typeface="Cambria Math"/>
            </a:rPr>
            <a:t>" )/"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>
              <a:latin typeface="Cambria Math"/>
              <a:ea typeface="Cambria Math"/>
            </a:rPr>
            <a:t>" ) 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(with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_"ow−air−sub−decay"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_"ow"  " " ("yr" )" x λ " ("1" /"yr" )┤/(("1−" "e" ^("−λ" "t" _"ow"  ) )" x S" "F" _"sub"  " " (("risk" ∕"yr" )/("pCi" ∕"m" ^"3"  ))" x E" "F" _"ow"  " " ("250 day" /"yr" )" x " (├ "1 yr" ┤/"365 days" )" x E" "D" _"ow"  " " ("25 yr" )" x E" "T" _"ow"  " " ("8 hr" /"day" )" x " ("1 day" /"24 hrs" )" x GS" "F" _"a"  " " ("1.0" )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_"ow−air−tot−decay"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_"ow−air−inh−decay"  ) "+"  "1" /("PR" "G" _"ow−air−sub−decay"  ) " " )</a:t>
          </a:r>
          <a:endParaRPr lang="en-US">
            <a:effectLst/>
          </a:endParaRPr>
        </a:p>
        <a:p>
          <a:endParaRPr lang="en-US" sz="1100">
            <a:latin typeface="Calibri" panose="020F0502020204030204" pitchFamily="34" charset="0"/>
          </a:endParaRPr>
        </a:p>
      </xdr:txBody>
    </xdr:sp>
    <xdr:clientData/>
  </xdr:oneCellAnchor>
  <xdr:oneCellAnchor>
    <xdr:from>
      <xdr:col>5</xdr:col>
      <xdr:colOff>95250</xdr:colOff>
      <xdr:row>55</xdr:row>
      <xdr:rowOff>85725</xdr:rowOff>
    </xdr:from>
    <xdr:ext cx="9163050" cy="1533526"/>
    <xdr:sp macro="" textlink="">
      <xdr:nvSpPr>
        <xdr:cNvPr id="9" name="TextBox 8"/>
        <xdr:cNvSpPr txBox="1"/>
      </xdr:nvSpPr>
      <xdr:spPr>
        <a:xfrm>
          <a:off x="3262313" y="10706100"/>
          <a:ext cx="9163050" cy="153352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Inhalation (without half-life</a:t>
          </a:r>
          <a:r>
            <a:rPr lang="en-US" sz="1100" b="1" u="sng" baseline="0"/>
            <a:t> decay)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"ow−air−inh−nodecay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"25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hours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"60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_"ow−air−sub−nodecay"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"TR" ┤/("S" "F" _"sub"  " " (("risk" ∕"yr" )/("pCi" ∕"m" ^"3"  ))" x E" "F" _"ow"  " " ("250 day" /"yr" )" x " (├ "1 yr" ┤/"365 days" )" x E" "D" _"ow"  " " ("25 yr" )" x E" "T" _"ow"  " " ("8 hr" /"day" )" x " ("1 day" /"24 hrs" )" x GS" "F" _"a"  " " ("1.0" )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_"ow−air−tot−nodecay"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_"ow−air−inh−nodecay"  ) "+"  "1" /("PR" "G" _"ow−air−sub−nodecay"  ) " " )</a:t>
          </a:r>
          <a:endParaRPr lang="en-US">
            <a:effectLst/>
          </a:endParaRPr>
        </a:p>
        <a:p>
          <a:endParaRPr lang="en-US" sz="1100">
            <a:latin typeface="Calibri" panose="020F0502020204030204" pitchFamily="34" charset="0"/>
          </a:endParaRPr>
        </a:p>
      </xdr:txBody>
    </xdr:sp>
    <xdr:clientData/>
  </xdr:oneCellAnchor>
  <xdr:oneCellAnchor>
    <xdr:from>
      <xdr:col>7</xdr:col>
      <xdr:colOff>714373</xdr:colOff>
      <xdr:row>25</xdr:row>
      <xdr:rowOff>0</xdr:rowOff>
    </xdr:from>
    <xdr:ext cx="8691563" cy="904875"/>
    <xdr:sp macro="" textlink="">
      <xdr:nvSpPr>
        <xdr:cNvPr id="12" name="TextBox 11"/>
        <xdr:cNvSpPr txBox="1"/>
      </xdr:nvSpPr>
      <xdr:spPr>
        <a:xfrm>
          <a:off x="5357811" y="4905375"/>
          <a:ext cx="8691563" cy="9048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Particulate Emission Factor</a:t>
          </a:r>
          <a:r>
            <a:rPr lang="en-US" sz="1100" b="1" u="sng" baseline="0"/>
            <a:t> - Wind</a:t>
          </a:r>
        </a:p>
        <a:p>
          <a:r>
            <a:rPr lang="en-US" sz="1100" b="0" i="0">
              <a:latin typeface="Cambria Math"/>
            </a:rPr>
            <a:t>"PE" </a:t>
          </a:r>
          <a:r>
            <a:rPr lang="en-US" sz="1100" b="0" i="0">
              <a:latin typeface="+mn-lt"/>
            </a:rPr>
            <a:t>"F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 " ((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"air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"3</a:t>
          </a:r>
          <a:r>
            <a:rPr lang="en-US" sz="1100" b="0" i="0">
              <a:latin typeface="Cambria Math"/>
            </a:rPr>
            <a:t>" )/(</a:t>
          </a:r>
          <a:r>
            <a:rPr lang="en-US" sz="1100" b="0" i="0">
              <a:latin typeface="+mn-lt"/>
            </a:rPr>
            <a:t>"k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"soil</a:t>
          </a:r>
          <a:r>
            <a:rPr lang="en-US" sz="1100" b="0" i="0">
              <a:latin typeface="Cambria Math"/>
            </a:rPr>
            <a:t>"  ))"=" </a:t>
          </a:r>
          <a:r>
            <a:rPr lang="en-US" sz="1100" b="0" i="0">
              <a:latin typeface="+mn-lt"/>
            </a:rPr>
            <a:t> "Q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"wind</a:t>
          </a:r>
          <a:r>
            <a:rPr lang="en-US" sz="1100" b="0" i="0">
              <a:latin typeface="Cambria Math"/>
            </a:rPr>
            <a:t>" 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 " ((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/(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"2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"−s</a:t>
          </a:r>
          <a:r>
            <a:rPr lang="en-US" sz="1100" b="0" i="0">
              <a:latin typeface="Cambria Math"/>
            </a:rPr>
            <a:t>" ))/(</a:t>
          </a:r>
          <a:r>
            <a:rPr lang="en-US" sz="1100" b="0" i="0">
              <a:latin typeface="+mn-lt"/>
            </a:rPr>
            <a:t>"kg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"3</a:t>
          </a:r>
          <a:r>
            <a:rPr lang="en-US" sz="1100" b="0" i="0">
              <a:latin typeface="Cambria Math"/>
            </a:rPr>
            <a:t>"  ))" x " </a:t>
          </a:r>
          <a:r>
            <a:rPr lang="en-US" sz="1100" b="0" i="0">
              <a:latin typeface="+mn-lt"/>
            </a:rPr>
            <a:t> "3600 </a:t>
          </a:r>
          <a:r>
            <a:rPr lang="en-US" sz="1100" b="0" i="0">
              <a:latin typeface="Cambria Math"/>
            </a:rPr>
            <a:t>" (</a:t>
          </a:r>
          <a:r>
            <a:rPr lang="en-US" sz="1100" b="0" i="0">
              <a:latin typeface="+mn-lt"/>
            </a:rPr>
            <a:t>"s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"hour</a:t>
          </a:r>
          <a:r>
            <a:rPr lang="en-US" sz="1100" b="0" i="0">
              <a:latin typeface="Cambria Math"/>
            </a:rPr>
            <a:t>" 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"0.036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))^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F(x)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endParaRPr lang="en-US" sz="1100" b="0">
            <a:latin typeface="+mn-lt"/>
          </a:endParaRPr>
        </a:p>
        <a:p>
          <a:r>
            <a:rPr lang="en-US" sz="1100" b="0" i="0">
              <a:latin typeface="+mn-lt"/>
            </a:rPr>
            <a:t>"Q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"wind</a:t>
          </a:r>
          <a:r>
            <a:rPr lang="en-US" sz="1100" b="0" i="0">
              <a:latin typeface="Cambria Math"/>
            </a:rPr>
            <a:t>" 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"=A x" </a:t>
          </a:r>
          <a:r>
            <a:rPr lang="en-US" sz="1100" b="0" i="0">
              <a:latin typeface="+mn-lt"/>
            </a:rPr>
            <a:t> "exp</a:t>
          </a:r>
          <a:r>
            <a:rPr lang="en-US" sz="1100" b="0" i="0">
              <a:latin typeface="Cambria Math"/>
            </a:rPr>
            <a:t>" ⁡[(</a:t>
          </a:r>
          <a:r>
            <a:rPr lang="en-US" sz="1100" b="0" i="0">
              <a:latin typeface="+mn-lt"/>
            </a:rPr>
            <a:t>"ln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"A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"s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" </a:t>
          </a:r>
          <a:r>
            <a:rPr lang="en-US" sz="1100" b="0" i="0">
              <a:latin typeface="Cambria Math"/>
            </a:rPr>
            <a:t>" (</a:t>
          </a:r>
          <a:r>
            <a:rPr lang="en-US" sz="1100" b="0" i="0">
              <a:latin typeface="+mn-lt"/>
            </a:rPr>
            <a:t>"acre</a:t>
          </a:r>
          <a:r>
            <a:rPr lang="en-US" sz="1100" b="0" i="0">
              <a:latin typeface="Cambria Math"/>
            </a:rPr>
            <a:t>" )</a:t>
          </a:r>
          <a:r>
            <a:rPr lang="en-US" sz="1100" b="0" i="0">
              <a:latin typeface="+mn-lt"/>
            </a:rPr>
            <a:t>"−B</a:t>
          </a:r>
          <a:r>
            <a:rPr lang="en-US" sz="1100" b="0" i="0">
              <a:latin typeface="Cambria Math"/>
            </a:rPr>
            <a:t>" )^</a:t>
          </a:r>
          <a:r>
            <a:rPr lang="en-US" sz="1100" b="0" i="0">
              <a:latin typeface="+mn-lt"/>
            </a:rPr>
            <a:t>"2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]</a:t>
          </a:r>
          <a:endParaRPr lang="en-US" sz="1100">
            <a:latin typeface="+mn-lt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309563</xdr:colOff>
      <xdr:row>46</xdr:row>
      <xdr:rowOff>142874</xdr:rowOff>
    </xdr:from>
    <xdr:ext cx="15049500" cy="2714627"/>
    <xdr:sp macro="" textlink="">
      <xdr:nvSpPr>
        <xdr:cNvPr id="2" name="TextBox 1"/>
        <xdr:cNvSpPr txBox="1"/>
      </xdr:nvSpPr>
      <xdr:spPr>
        <a:xfrm>
          <a:off x="309563" y="8905874"/>
          <a:ext cx="15049500" cy="271462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latin typeface="+mn-lt"/>
            </a:rPr>
            <a:t>Direct External Exposure to contamination at infinite depth</a:t>
          </a:r>
        </a:p>
        <a:p>
          <a:r>
            <a:rPr lang="en-US" sz="1100" b="0" i="0" u="none">
              <a:latin typeface="Cambria Math"/>
            </a:rPr>
            <a:t>"PRG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iw</a:t>
          </a:r>
          <a:r>
            <a:rPr lang="en-US" sz="1100" b="0" i="0" u="none">
              <a:latin typeface="Cambria Math"/>
            </a:rPr>
            <a:t>−soil−sv " ("</a:t>
          </a:r>
          <a:r>
            <a:rPr lang="en-US" sz="1100" b="0" i="0" u="none">
              <a:latin typeface="Calibri" panose="020F0502020204030204" pitchFamily="34" charset="0"/>
            </a:rPr>
            <a:t>pCi</a:t>
          </a:r>
          <a:r>
            <a:rPr lang="en-US" sz="1100" b="0" i="0" u="none">
              <a:latin typeface="Cambria Math"/>
            </a:rPr>
            <a:t>" ∕"</a:t>
          </a:r>
          <a:r>
            <a:rPr lang="en-US" sz="1100" b="0" i="0" u="none">
              <a:latin typeface="Calibri" panose="020F0502020204030204" pitchFamily="34" charset="0"/>
            </a:rPr>
            <a:t>g</a:t>
          </a:r>
          <a:r>
            <a:rPr lang="en-US" sz="1100" b="0" i="0" u="none">
              <a:latin typeface="Cambria Math"/>
            </a:rPr>
            <a:t>" )"=</a:t>
          </a:r>
          <a:r>
            <a:rPr lang="en-US" sz="1100" b="0" i="0" u="none">
              <a:latin typeface="Cambria Math"/>
              <a:ea typeface="Cambria Math"/>
            </a:rPr>
            <a:t>" </a:t>
          </a:r>
          <a:r>
            <a:rPr lang="en-US" sz="1100" b="0" i="0" u="none">
              <a:latin typeface="Cambria Math"/>
            </a:rPr>
            <a:t> ├ "</a:t>
          </a:r>
          <a:r>
            <a:rPr lang="en-US" sz="1100" b="0" i="0" u="none">
              <a:latin typeface="Calibri" panose="020F0502020204030204" pitchFamily="34" charset="0"/>
            </a:rPr>
            <a:t>TR x </a:t>
          </a:r>
          <a:r>
            <a:rPr lang="en-US" sz="1100" b="0" i="0" u="none">
              <a:latin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</a:rPr>
            <a:t>t</a:t>
          </a:r>
          <a:r>
            <a:rPr lang="en-US" sz="1100" b="0" i="0" u="none">
              <a:latin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</a:rPr>
            <a:t> </a:t>
          </a:r>
          <a:r>
            <a:rPr lang="en-US" sz="1100" b="0" i="0" u="none">
              <a:latin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</a:rPr>
            <a:t>yr</a:t>
          </a:r>
          <a:r>
            <a:rPr lang="en-US" sz="1100" b="0" i="0" u="none">
              <a:latin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</a:rPr>
            <a:t> x 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λ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 u="none">
              <a:latin typeface="Cambria Math"/>
              <a:ea typeface="Cambria Math"/>
            </a:rPr>
            <a:t>" )┤/(("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1−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 u="none">
              <a:latin typeface="Cambria Math"/>
              <a:ea typeface="Cambria Math"/>
            </a:rPr>
            <a:t>" ^("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−λ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)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S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ext−sv</a:t>
          </a:r>
          <a:r>
            <a:rPr lang="en-US" sz="1100" b="0" i="0" u="none">
              <a:latin typeface="Cambria Math"/>
              <a:ea typeface="Cambria Math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 u="none">
              <a:latin typeface="Cambria Math"/>
              <a:ea typeface="Cambria Math"/>
            </a:rPr>
            <a:t>" ∕"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 u="none">
              <a:latin typeface="Cambria Math"/>
              <a:ea typeface="Cambria Math"/>
            </a:rPr>
            <a:t>" )/├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 u="none">
              <a:latin typeface="Cambria Math"/>
              <a:ea typeface="Cambria Math"/>
            </a:rPr>
            <a:t>" ∕"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g</a:t>
          </a:r>
          <a:r>
            <a:rPr lang="en-US" sz="1100" b="0" i="0" u="none">
              <a:latin typeface="Cambria Math"/>
              <a:ea typeface="Cambria Math"/>
            </a:rPr>
            <a:t>" ┤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250 day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1yr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365 days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D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25 yr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 u="none">
              <a:latin typeface="Cambria Math"/>
              <a:ea typeface="Cambria Math"/>
            </a:rPr>
            <a:t>" ├ ├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8 hrs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 day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24 hr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GS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i</a:t>
          </a:r>
          <a:r>
            <a:rPr lang="en-US" sz="1100" b="0" i="0" u="none">
              <a:latin typeface="Cambria Math"/>
              <a:ea typeface="Cambria Math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0.4</a:t>
          </a:r>
          <a:r>
            <a:rPr lang="en-US" sz="1100" b="0" i="0" u="none">
              <a:latin typeface="Cambria Math"/>
              <a:ea typeface="Cambria Math"/>
            </a:rPr>
            <a:t>" )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x AC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ext−sv</a:t>
          </a:r>
          <a:r>
            <a:rPr lang="en-US" sz="1100" b="0" i="0" u="none">
              <a:latin typeface="Cambria Math"/>
              <a:ea typeface="Cambria Math"/>
            </a:rPr>
            <a:t>"  ┤┤ )</a:t>
          </a:r>
          <a:endParaRPr lang="en-US" sz="1100" b="0" i="0" u="none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1 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"PRGiw−soil−1cm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_"iw"  " " ("yr" )" x λ " ("1" /"yr" )┤/(("1−" "e" ^("−λ" "t" _"iw"  ) )" x S" "F" _"ext−1cm"  " " (("risk" ∕"yr" )/├ "pCi" ∕"g" ┤ )" x E" "F" _"iw"  " " ("250 day" /"yr" )" x " ("1yr" /"365 days" )" x E" "D" _"iw"  " " ("25 yr" )" x " ├ ├ "E" "T" _"iw"  " " ("8 hrs" /"day" )" x " ("1 day" /"24 hr" )" x GS" "F" _"i"  " " ("0.4" )  "x AC" "F" _"ext−1cm"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5cm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"PRGiw−soil−5cm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_"iw"  " " ("yr" )" x λ " ("1" /"yr" )┤/(("1−" "e" ^("−λ" "t" _"iw"  ) )" x S" "F" _"ext−5cm"  " " (("risk" ∕"yr" )/├ "pCi" ∕"g" ┤ )" x E" "F" _"iw"  " " ("250 day" /"yr" )" x " ("1yr" /"365 days" )" x E" "D" _"iw"  " " ("25 yr" )" x " ├ ├ "E" "T" _"iw"  " " ("8 hrs" /"day" )" x " ("1 day" /"24 hr" )" x GS" "F" _"i"  " " ("0.4" )  "x AC" "F" _"ext−5cm"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15cm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"PRGiw−soil−15cm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_"iw"  " " ("yr" )" x λ " ("1" /"yr" )┤/(("1−" "e" ^("−λ" "t" _"iw"  ) )" x S" "F" _"ext−15cm"  " " (("risk" ∕"yr" )/├ "pCi" ∕"g" ┤ )" x E" "F" _"iw"  " " ("250 day" /"yr" )" x " ("1yr" /"365 days" )" x E" "D" _"iw"  " " ("25 yr" )" x " ├ ├ "E" "T" _"iw"  " " ("8 hrs" /"day" )" x " ("1 day" /"24 hr" )" x GS" "F" _"i"  " " ("0.4" )  "x AC" "F" _"ext−15cm"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dust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"PRGiw−soil−gp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_"iw"  " " ("yr" )" x λ " ("1" /"yr" )┤/(("1−" "e" ^("−λ" "t" _"iw"  ) )" x S" "F" _"ext−gp"  " " (("risk" ∕"yr" )/├ "pCi" ∕"g" ┤ )" x E" "F" _"iw"  " " ("250 day" /"yr" )" x " ("1yr" /"365 days" )" x E" "D" _"iw"  " " ("25 yr" )" x " ├ ├ "E" "T" _"iw"  " " ("8 hrs" /"day" )" x " ("1 day" /"24 hr" )" x GS" "F" _"i"  " " ("0.4" )  "x AC" "F" _"ext−gp"  ┤┤ )</a:t>
          </a:r>
          <a:endParaRPr lang="en-US">
            <a:effectLst/>
          </a:endParaRPr>
        </a:p>
        <a:p>
          <a:endParaRPr lang="en-US" sz="1100" b="0" i="0" u="none">
            <a:latin typeface="Calibri" panose="020F050202020403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46</xdr:row>
      <xdr:rowOff>119063</xdr:rowOff>
    </xdr:from>
    <xdr:ext cx="15049500" cy="2690812"/>
    <xdr:sp macro="" textlink="">
      <xdr:nvSpPr>
        <xdr:cNvPr id="2" name="TextBox 1"/>
        <xdr:cNvSpPr txBox="1"/>
      </xdr:nvSpPr>
      <xdr:spPr>
        <a:xfrm>
          <a:off x="71438" y="8882063"/>
          <a:ext cx="15049500" cy="269081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latin typeface="+mn-lt"/>
            </a:rPr>
            <a:t>Direct External Exposure to contamination at infinite depth</a:t>
          </a:r>
        </a:p>
        <a:p>
          <a:r>
            <a:rPr lang="en-US" sz="1100" b="0" i="0" u="none">
              <a:latin typeface="Cambria Math"/>
            </a:rPr>
            <a:t>"PRG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ow</a:t>
          </a:r>
          <a:r>
            <a:rPr lang="en-US" sz="1100" b="0" i="0" u="none">
              <a:latin typeface="Cambria Math"/>
            </a:rPr>
            <a:t>−soil−sv " ("</a:t>
          </a:r>
          <a:r>
            <a:rPr lang="en-US" sz="1100" b="0" i="0" u="none">
              <a:latin typeface="Calibri" panose="020F0502020204030204" pitchFamily="34" charset="0"/>
            </a:rPr>
            <a:t>pCi</a:t>
          </a:r>
          <a:r>
            <a:rPr lang="en-US" sz="1100" b="0" i="0" u="none">
              <a:latin typeface="Cambria Math"/>
            </a:rPr>
            <a:t>" ∕"</a:t>
          </a:r>
          <a:r>
            <a:rPr lang="en-US" sz="1100" b="0" i="0" u="none">
              <a:latin typeface="Calibri" panose="020F0502020204030204" pitchFamily="34" charset="0"/>
            </a:rPr>
            <a:t>g</a:t>
          </a:r>
          <a:r>
            <a:rPr lang="en-US" sz="1100" b="0" i="0" u="none">
              <a:latin typeface="Cambria Math"/>
            </a:rPr>
            <a:t>" )"=</a:t>
          </a:r>
          <a:r>
            <a:rPr lang="en-US" sz="1100" b="0" i="0" u="none">
              <a:latin typeface="Cambria Math"/>
              <a:ea typeface="Cambria Math"/>
            </a:rPr>
            <a:t>" </a:t>
          </a:r>
          <a:r>
            <a:rPr lang="en-US" sz="1100" b="0" i="0" u="none">
              <a:latin typeface="Cambria Math"/>
            </a:rPr>
            <a:t> ├ "</a:t>
          </a:r>
          <a:r>
            <a:rPr lang="en-US" sz="1100" b="0" i="0" u="none">
              <a:latin typeface="Calibri" panose="020F0502020204030204" pitchFamily="34" charset="0"/>
            </a:rPr>
            <a:t>TR x </a:t>
          </a:r>
          <a:r>
            <a:rPr lang="en-US" sz="1100" b="0" i="0" u="none">
              <a:latin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</a:rPr>
            <a:t>t</a:t>
          </a:r>
          <a:r>
            <a:rPr lang="en-US" sz="1100" b="0" i="0" u="none">
              <a:latin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</a:rPr>
            <a:t> </a:t>
          </a:r>
          <a:r>
            <a:rPr lang="en-US" sz="1100" b="0" i="0" u="none">
              <a:latin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</a:rPr>
            <a:t>yr</a:t>
          </a:r>
          <a:r>
            <a:rPr lang="en-US" sz="1100" b="0" i="0" u="none">
              <a:latin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</a:rPr>
            <a:t> x 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λ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 u="none">
              <a:latin typeface="Cambria Math"/>
              <a:ea typeface="Cambria Math"/>
            </a:rPr>
            <a:t>" )┤/(("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1−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 u="none">
              <a:latin typeface="Cambria Math"/>
              <a:ea typeface="Cambria Math"/>
            </a:rPr>
            <a:t>" ^("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−λ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)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S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ext−sv</a:t>
          </a:r>
          <a:r>
            <a:rPr lang="en-US" sz="1100" b="0" i="0" u="none">
              <a:latin typeface="Cambria Math"/>
              <a:ea typeface="Cambria Math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 u="none">
              <a:latin typeface="Cambria Math"/>
              <a:ea typeface="Cambria Math"/>
            </a:rPr>
            <a:t>" ∕"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 u="none">
              <a:latin typeface="Cambria Math"/>
              <a:ea typeface="Cambria Math"/>
            </a:rPr>
            <a:t>" )/├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 u="none">
              <a:latin typeface="Cambria Math"/>
              <a:ea typeface="Cambria Math"/>
            </a:rPr>
            <a:t>" ∕"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g</a:t>
          </a:r>
          <a:r>
            <a:rPr lang="en-US" sz="1100" b="0" i="0" u="none">
              <a:latin typeface="Cambria Math"/>
              <a:ea typeface="Cambria Math"/>
            </a:rPr>
            <a:t>" ┤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250 day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1yr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365 days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E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D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25 yr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 u="none">
              <a:latin typeface="Cambria Math"/>
              <a:ea typeface="Cambria Math"/>
            </a:rPr>
            <a:t>" ├ ├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ow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8 hrs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day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 day</a:t>
          </a:r>
          <a:r>
            <a:rPr lang="en-US" sz="1100" b="0" i="0" u="none">
              <a:latin typeface="Cambria Math"/>
              <a:ea typeface="Cambria Math"/>
            </a:rPr>
            <a:t>" /"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24 hr</a:t>
          </a:r>
          <a:r>
            <a:rPr lang="en-US" sz="1100" b="0" i="0" u="none">
              <a:latin typeface="Cambria Math"/>
              <a:ea typeface="Cambria Math"/>
            </a:rPr>
            <a:t>" )"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x GS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</a:t>
          </a:r>
          <a:r>
            <a:rPr lang="en-US" sz="1100" b="0" i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u="none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 u="none">
              <a:latin typeface="Cambria Math"/>
              <a:ea typeface="Cambria Math"/>
            </a:rPr>
            <a:t>" ("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1.0</a:t>
          </a:r>
          <a:r>
            <a:rPr lang="en-US" sz="1100" b="0" i="0" u="none">
              <a:latin typeface="Cambria Math"/>
              <a:ea typeface="Cambria Math"/>
            </a:rPr>
            <a:t>" ) 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x AC</a:t>
          </a:r>
          <a:r>
            <a:rPr lang="en-US" sz="1100" b="0" i="0" u="none">
              <a:latin typeface="Cambria Math"/>
              <a:ea typeface="Cambria Math"/>
            </a:rPr>
            <a:t>" 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 u="none">
              <a:latin typeface="Cambria Math"/>
              <a:ea typeface="Cambria Math"/>
            </a:rPr>
            <a:t>" _"</a:t>
          </a:r>
          <a:r>
            <a:rPr lang="en-US" sz="1100" b="0" i="0" u="none">
              <a:latin typeface="Calibri" panose="020F0502020204030204" pitchFamily="34" charset="0"/>
              <a:ea typeface="Cambria Math"/>
            </a:rPr>
            <a:t>ext−sv</a:t>
          </a:r>
          <a:r>
            <a:rPr lang="en-US" sz="1100" b="0" i="0" u="none">
              <a:latin typeface="Cambria Math"/>
              <a:ea typeface="Cambria Math"/>
            </a:rPr>
            <a:t>"  ┤┤ )</a:t>
          </a:r>
          <a:endParaRPr lang="en-US" sz="1100" b="0" i="0" u="none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1 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"PRGow−soil−1cm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_"ow"  " " ("yr" )" x λ " ("1" /"yr" )┤/(("1−" "e" ^("−λ" "t" _"ow"  ) )" x S" "F" _"ext−1cm"  " " (("risk" ∕"yr" )/├ "pCi" ∕"g" ┤ )" x E" "F" _"ow"  " " ("250 day" /"yr" )" x " ("1yr" /"365 days" )" x E" "D" _"ow"  " " ("25 yr" )" x " ├ ├ "E" "T" _"ow"  " " ("8 hrs" /"day" )" x " ("1 day" /"24 hr" )" x GS" "F" _"o"  " " ("1.0" )  "x AC" "F" _"ext−1cm"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5cm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"PRGow−soil−5cm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_"ow"  " " ("yr" )" x λ " ("1" /"yr" )┤/(("1−" "e" ^("−λ" "t" _"ow"  ) )" x S" "F" _"ext−5cm"  " " (("risk" ∕"yr" )/├ "pCi" ∕"g" ┤ )" x E" "F" _"ow"  " " ("250 day" /"yr" )" x " ("1yr" /"365 days" )" x E" "D" _"ow"  " " ("25 yr" )" x " ├ ├ "E" "T" _"ow"  " " ("8 hrs" /"day" )" x " ("1 day" /"24 hr" )" x GS" "F" _"o"  " " ("1.0" )  "x AC" "F" _"ext−5cm"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15cm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"PRGow−soil−15cm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_"ow"  " " ("yr" )" x λ " ("1" /"yr" )┤/(("1−" "e" ^("−λ" "t" _"ow"  ) )" x S" "F" _"ext−15cm"  " " (("risk" ∕"yr" )/├ "pCi" ∕"g" ┤ )" x E" "F" _"ow"  " " ("250 day" /"yr" )" x " ("1yr" /"365 days" )" x E" "D" _"ow"  " " ("25 yr" )" x " ├ ├ "E" "T" _"ow"  " " ("8 hrs" /"day" )" x " ("1 day" /"24 hr" )" x GS" "F" _"o"  " " ("1.0" )  "x AC" "F" _"ext−15cm"  ┤┤ 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dust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"PRGow−soil−gp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_"ow"  " " ("yr" )" x λ " ("1" /"yr" )┤/(("1−" "e" ^("−λ" "t" _"ow"  ) )" x S" "F" _"ext−gp"  " " (("risk" ∕"yr" )/├ "pCi" ∕"g" ┤ )" x E" "F" _"ow"  " " ("250 day" /"yr" )" x " ("1yr" /"365 days" )" x E" "D" _"ow"  " " ("25 yr" )" x " ├ ├ "E" "T" _"ow"  " " ("8 hrs" /"day" )" x " ("1 day" /"24 hr" )" x GS" "F" _"o"  " " ("1.0" )  "x AC" "F" _"ext−gp"  ┤┤ )</a:t>
          </a:r>
          <a:endParaRPr lang="en-US">
            <a:effectLst/>
          </a:endParaRPr>
        </a:p>
        <a:p>
          <a:endParaRPr lang="en-US" sz="1100" b="0" i="0" u="none">
            <a:latin typeface="Calibri" panose="020F050202020403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13" zoomScale="40" zoomScaleNormal="40" workbookViewId="0">
      <selection activeCell="AO27" sqref="AO27"/>
    </sheetView>
  </sheetViews>
  <sheetFormatPr defaultRowHeight="15" x14ac:dyDescent="0.25"/>
  <cols>
    <col min="5" max="5" width="10" customWidth="1"/>
    <col min="6" max="6" width="10.28515625" bestFit="1" customWidth="1"/>
    <col min="7" max="8" width="12.5703125" bestFit="1" customWidth="1"/>
    <col min="11" max="12" width="10.28515625" bestFit="1" customWidth="1"/>
    <col min="14" max="14" width="10.28515625" bestFit="1" customWidth="1"/>
  </cols>
  <sheetData>
    <row r="1" spans="1:14" x14ac:dyDescent="0.25">
      <c r="A1" s="1" t="s">
        <v>0</v>
      </c>
      <c r="B1" s="1" t="s">
        <v>1</v>
      </c>
      <c r="D1" s="2"/>
      <c r="E1" s="1" t="s">
        <v>70</v>
      </c>
      <c r="F1" s="1" t="s">
        <v>21</v>
      </c>
      <c r="G1" s="3" t="s">
        <v>4</v>
      </c>
      <c r="H1" s="1" t="s">
        <v>36</v>
      </c>
      <c r="I1" s="48" t="s">
        <v>37</v>
      </c>
      <c r="J1" s="48" t="s">
        <v>38</v>
      </c>
      <c r="K1" s="48" t="s">
        <v>39</v>
      </c>
      <c r="L1" s="48" t="s">
        <v>40</v>
      </c>
      <c r="M1" s="48" t="s">
        <v>41</v>
      </c>
    </row>
    <row r="2" spans="1:14" x14ac:dyDescent="0.25">
      <c r="A2" s="1" t="s">
        <v>2</v>
      </c>
      <c r="B2" s="6">
        <v>9.9999999999999995E-7</v>
      </c>
      <c r="D2" s="7" t="s">
        <v>22</v>
      </c>
      <c r="E2" s="7" t="s">
        <v>77</v>
      </c>
      <c r="F2" s="4">
        <v>432</v>
      </c>
      <c r="G2" s="4">
        <f>0.693/F2</f>
        <v>1.6041666666666665E-3</v>
      </c>
      <c r="H2" s="4">
        <f>(1-EXP(-(G2)*$B$3))</f>
        <v>3.9310637868486542E-2</v>
      </c>
      <c r="I2" s="4">
        <f>'Isotope Specific Factors'!F11</f>
        <v>9.0999999999999996E-11</v>
      </c>
      <c r="J2" s="4">
        <f>'Isotope Specific Factors'!C19</f>
        <v>0</v>
      </c>
      <c r="K2" s="4">
        <f>'Isotope Specific Factors'!D3</f>
        <v>2.77E-8</v>
      </c>
      <c r="L2" s="4">
        <v>1</v>
      </c>
      <c r="M2" s="4">
        <f>'Isotope Specific Factors'!I3</f>
        <v>5.8100000000000005E-11</v>
      </c>
    </row>
    <row r="3" spans="1:14" x14ac:dyDescent="0.25">
      <c r="A3" s="1" t="s">
        <v>3</v>
      </c>
      <c r="B3" s="7">
        <v>25</v>
      </c>
      <c r="D3" s="7" t="s">
        <v>23</v>
      </c>
      <c r="E3" s="7" t="s">
        <v>77</v>
      </c>
      <c r="F3" s="4">
        <v>5.27</v>
      </c>
      <c r="G3" s="4">
        <f t="shared" ref="G3:G5" si="0">0.693/F3</f>
        <v>0.13149905123339659</v>
      </c>
      <c r="H3" s="4">
        <f t="shared" ref="H3:H5" si="1">(1-EXP(-(G3)*$B$3))</f>
        <v>0.9626520136123895</v>
      </c>
      <c r="I3" s="4">
        <f>'Isotope Specific Factors'!F12</f>
        <v>7.3300000000000005E-12</v>
      </c>
      <c r="J3" s="4">
        <f>'Isotope Specific Factors'!C24</f>
        <v>1</v>
      </c>
      <c r="K3" s="4">
        <f>'Isotope Specific Factors'!D4</f>
        <v>1.24E-5</v>
      </c>
      <c r="L3" s="49">
        <v>1</v>
      </c>
      <c r="M3" s="4">
        <f>'Isotope Specific Factors'!I4</f>
        <v>1.1299999999999999E-8</v>
      </c>
    </row>
    <row r="4" spans="1:14" x14ac:dyDescent="0.25">
      <c r="A4" s="3" t="s">
        <v>5</v>
      </c>
      <c r="B4" s="7">
        <v>250</v>
      </c>
      <c r="D4" s="7" t="s">
        <v>24</v>
      </c>
      <c r="E4" s="7" t="s">
        <v>77</v>
      </c>
      <c r="F4" s="4">
        <v>12.3</v>
      </c>
      <c r="G4" s="4">
        <f t="shared" si="0"/>
        <v>5.6341463414634141E-2</v>
      </c>
      <c r="H4" s="4">
        <f t="shared" si="1"/>
        <v>0.75549917243911779</v>
      </c>
      <c r="I4" s="4">
        <f>'Isotope Specific Factors'!F14</f>
        <v>0</v>
      </c>
      <c r="J4" s="4">
        <f>'Isotope Specific Factors'!C27</f>
        <v>0</v>
      </c>
      <c r="K4" s="4">
        <f>'Isotope Specific Factors'!D6</f>
        <v>0</v>
      </c>
      <c r="L4" s="4">
        <v>0.9</v>
      </c>
      <c r="M4" s="49">
        <f>'Isotope Specific Factors'!I6</f>
        <v>0</v>
      </c>
    </row>
    <row r="5" spans="1:14" x14ac:dyDescent="0.25">
      <c r="A5" s="3" t="s">
        <v>6</v>
      </c>
      <c r="B5" s="7">
        <v>25</v>
      </c>
      <c r="D5" s="7" t="s">
        <v>25</v>
      </c>
      <c r="E5" s="7" t="s">
        <v>77</v>
      </c>
      <c r="F5" s="4">
        <v>87.7</v>
      </c>
      <c r="G5" s="4">
        <f t="shared" si="0"/>
        <v>7.9019384264538192E-3</v>
      </c>
      <c r="H5" s="4">
        <f t="shared" si="1"/>
        <v>0.17925963395695022</v>
      </c>
      <c r="I5" s="4">
        <f>'Isotope Specific Factors'!F15</f>
        <v>1.1700000000000001E-10</v>
      </c>
      <c r="J5" s="4">
        <f>'Isotope Specific Factors'!C31</f>
        <v>1</v>
      </c>
      <c r="K5" s="4">
        <f>'Isotope Specific Factors'!D7</f>
        <v>6.9200000000000004E-11</v>
      </c>
      <c r="L5" s="49">
        <v>1</v>
      </c>
      <c r="M5" s="4">
        <f>'Isotope Specific Factors'!I7</f>
        <v>2.5600000000000002E-13</v>
      </c>
    </row>
    <row r="6" spans="1:14" ht="15.75" thickBot="1" x14ac:dyDescent="0.3">
      <c r="A6" s="3" t="s">
        <v>7</v>
      </c>
      <c r="B6" s="7">
        <v>50</v>
      </c>
    </row>
    <row r="7" spans="1:14" x14ac:dyDescent="0.25">
      <c r="A7" s="3" t="s">
        <v>8</v>
      </c>
      <c r="B7" s="7">
        <v>8</v>
      </c>
      <c r="D7" s="212" t="s">
        <v>12</v>
      </c>
      <c r="E7" s="213"/>
      <c r="F7" s="213"/>
      <c r="G7" s="213"/>
      <c r="H7" s="214"/>
      <c r="J7" s="195" t="s">
        <v>12</v>
      </c>
      <c r="K7" s="196"/>
      <c r="L7" s="196"/>
      <c r="M7" s="196"/>
      <c r="N7" s="197"/>
    </row>
    <row r="8" spans="1:14" ht="15.75" thickBot="1" x14ac:dyDescent="0.3">
      <c r="A8" s="3" t="s">
        <v>9</v>
      </c>
      <c r="B8" s="7">
        <v>60</v>
      </c>
      <c r="D8" s="17"/>
      <c r="E8" s="10" t="s">
        <v>26</v>
      </c>
      <c r="F8" s="11" t="s">
        <v>27</v>
      </c>
      <c r="G8" s="11" t="s">
        <v>28</v>
      </c>
      <c r="H8" s="18" t="s">
        <v>29</v>
      </c>
      <c r="J8" s="27"/>
      <c r="K8" s="19"/>
      <c r="L8" s="11" t="s">
        <v>30</v>
      </c>
      <c r="M8" s="11" t="s">
        <v>31</v>
      </c>
      <c r="N8" s="28" t="s">
        <v>32</v>
      </c>
    </row>
    <row r="9" spans="1:14" ht="15" customHeight="1" x14ac:dyDescent="0.25">
      <c r="A9" s="5" t="s">
        <v>10</v>
      </c>
      <c r="B9" s="6">
        <f>(B12)*(3600/(0.036*(1-B13)*((B14/B15)^3)*(B16)))</f>
        <v>1359344473.5814338</v>
      </c>
      <c r="D9" s="209" t="s">
        <v>22</v>
      </c>
      <c r="E9" s="12">
        <f>($B$2)*($B$3)*(G2)</f>
        <v>4.0104166666666658E-8</v>
      </c>
      <c r="F9" s="12">
        <f>($B$2)*($B$3)*(G2)</f>
        <v>4.0104166666666658E-8</v>
      </c>
      <c r="G9" s="12">
        <f>($B$2)*($B$3)*(G2)</f>
        <v>4.0104166666666658E-8</v>
      </c>
      <c r="H9" s="13">
        <f>1</f>
        <v>1</v>
      </c>
      <c r="J9" s="203" t="s">
        <v>22</v>
      </c>
      <c r="K9" s="20" t="s">
        <v>26</v>
      </c>
      <c r="L9" s="21">
        <v>35.9</v>
      </c>
      <c r="M9" s="21">
        <v>35.9</v>
      </c>
      <c r="N9" s="22">
        <f>(L9-M9)/((1/2)*(L9+M9))</f>
        <v>0</v>
      </c>
    </row>
    <row r="10" spans="1:14" x14ac:dyDescent="0.25">
      <c r="A10" s="3" t="s">
        <v>11</v>
      </c>
      <c r="B10" s="7">
        <v>0.4</v>
      </c>
      <c r="D10" s="210"/>
      <c r="E10" s="6">
        <f>(H2)*(I2)*($B$4)*($B$5)*($B$6)*(1/1000)</f>
        <v>1.1178962643850862E-9</v>
      </c>
      <c r="F10" s="6">
        <f>(H2)*(J2)*($B$4)*($B$5)*($B$7)*(1/24)*($B$8)*(1/B9)*(1000)</f>
        <v>0</v>
      </c>
      <c r="G10" s="6">
        <f>(H2)*(K2)*($B$4)*(1/365)*($B$5)*($B$7)*(1/24)*($B$10)*(1)</f>
        <v>2.4860837190800852E-9</v>
      </c>
      <c r="H10" s="14" t="e">
        <f>(1/E11)+(1/F11)+(1/G11)</f>
        <v>#DIV/0!</v>
      </c>
      <c r="J10" s="204"/>
      <c r="K10" s="1" t="s">
        <v>27</v>
      </c>
      <c r="L10" s="4">
        <v>294</v>
      </c>
      <c r="M10" s="4">
        <v>294</v>
      </c>
      <c r="N10" s="23">
        <f t="shared" ref="N10:N12" si="2">(L10-M10)/((1/2)*(L10+M10))</f>
        <v>0</v>
      </c>
    </row>
    <row r="11" spans="1:14" ht="15.75" thickBot="1" x14ac:dyDescent="0.3">
      <c r="A11" s="8" t="s">
        <v>13</v>
      </c>
      <c r="B11" s="9">
        <v>1</v>
      </c>
      <c r="D11" s="211"/>
      <c r="E11" s="15">
        <f>E9/E10</f>
        <v>35.874676340140105</v>
      </c>
      <c r="F11" s="15" t="e">
        <f t="shared" ref="F11:H11" si="3">F9/F10</f>
        <v>#DIV/0!</v>
      </c>
      <c r="G11" s="15">
        <f t="shared" si="3"/>
        <v>16.131462653038181</v>
      </c>
      <c r="H11" s="16" t="e">
        <f t="shared" si="3"/>
        <v>#DIV/0!</v>
      </c>
      <c r="J11" s="204"/>
      <c r="K11" s="1" t="s">
        <v>28</v>
      </c>
      <c r="L11" s="4">
        <v>16.100000000000001</v>
      </c>
      <c r="M11" s="4">
        <v>16.100000000000001</v>
      </c>
      <c r="N11" s="23">
        <f t="shared" si="2"/>
        <v>0</v>
      </c>
    </row>
    <row r="12" spans="1:14" ht="15.75" thickBot="1" x14ac:dyDescent="0.3">
      <c r="A12" s="5" t="s">
        <v>42</v>
      </c>
      <c r="B12" s="65">
        <f>(B17)*EXP((((LN(B18))-B19)^2)/B20)</f>
        <v>93.773582452087695</v>
      </c>
      <c r="D12" s="209" t="s">
        <v>23</v>
      </c>
      <c r="E12" s="12">
        <f>($B$2)*($B$3)*(G3)</f>
        <v>3.2874762808349142E-6</v>
      </c>
      <c r="F12" s="12">
        <f>($B$2)*($B$3)*(G3)</f>
        <v>3.2874762808349142E-6</v>
      </c>
      <c r="G12" s="12">
        <f>($B$2)*($B$3)*(G3)</f>
        <v>3.2874762808349142E-6</v>
      </c>
      <c r="H12" s="13">
        <f>1</f>
        <v>1</v>
      </c>
      <c r="J12" s="205"/>
      <c r="K12" s="24" t="s">
        <v>29</v>
      </c>
      <c r="L12" s="25">
        <v>10.7</v>
      </c>
      <c r="M12" s="25">
        <v>10.7</v>
      </c>
      <c r="N12" s="26">
        <f t="shared" si="2"/>
        <v>0</v>
      </c>
    </row>
    <row r="13" spans="1:14" ht="15" customHeight="1" x14ac:dyDescent="0.25">
      <c r="A13" s="8" t="s">
        <v>43</v>
      </c>
      <c r="B13" s="7">
        <v>0.5</v>
      </c>
      <c r="D13" s="210"/>
      <c r="E13" s="6">
        <f>(H3)*(I3)*($B$4)*($B$5)*($B$6)*(1/1000)</f>
        <v>2.2050747686808798E-9</v>
      </c>
      <c r="F13" s="6">
        <f>(H3)*(J3)*($B$4)*($B$5)*($B$7)*(1/24)*($B$8)*(1/B9)*(1000)</f>
        <v>8.8521713252354667E-2</v>
      </c>
      <c r="G13" s="6">
        <f>(H3)*(K3)*($B$4)*(1/365)*($B$5)*($B$7)*(1/24)*($B$10)*(1)</f>
        <v>2.7253162029209197E-5</v>
      </c>
      <c r="H13" s="14">
        <f>(1/E14)+(1/F14)+(1/G14)</f>
        <v>26935.241825370689</v>
      </c>
      <c r="J13" s="203" t="s">
        <v>23</v>
      </c>
      <c r="K13" s="20" t="s">
        <v>26</v>
      </c>
      <c r="L13" s="21">
        <v>1490</v>
      </c>
      <c r="M13" s="21">
        <v>1490</v>
      </c>
      <c r="N13" s="22">
        <f>(L13-M13)/((1/2)*(L13+M13))</f>
        <v>0</v>
      </c>
    </row>
    <row r="14" spans="1:14" ht="15.75" thickBot="1" x14ac:dyDescent="0.3">
      <c r="A14" s="8" t="s">
        <v>44</v>
      </c>
      <c r="B14" s="7">
        <v>4.6900000000000004</v>
      </c>
      <c r="D14" s="211"/>
      <c r="E14" s="15">
        <f>E12/E13</f>
        <v>1490.8683948170831</v>
      </c>
      <c r="F14" s="15">
        <f t="shared" ref="F14:H14" si="4">F12/F13</f>
        <v>3.7137513046805696E-5</v>
      </c>
      <c r="G14" s="15">
        <f t="shared" si="4"/>
        <v>0.12062733408004131</v>
      </c>
      <c r="H14" s="16">
        <f t="shared" si="4"/>
        <v>3.7126082122570202E-5</v>
      </c>
      <c r="J14" s="204"/>
      <c r="K14" s="1" t="s">
        <v>27</v>
      </c>
      <c r="L14" s="4">
        <v>368000</v>
      </c>
      <c r="M14" s="4">
        <v>369000</v>
      </c>
      <c r="N14" s="23">
        <f t="shared" ref="N14:N16" si="5">(L14-M14)/((1/2)*(L14+M14))</f>
        <v>-2.7137042062415195E-3</v>
      </c>
    </row>
    <row r="15" spans="1:14" x14ac:dyDescent="0.25">
      <c r="A15" s="8" t="s">
        <v>45</v>
      </c>
      <c r="B15" s="7">
        <v>11.32</v>
      </c>
      <c r="D15" s="209" t="s">
        <v>24</v>
      </c>
      <c r="E15" s="58"/>
      <c r="F15" s="12">
        <f>($B$2)*($B$3)*(G4)</f>
        <v>1.4085365853658534E-6</v>
      </c>
      <c r="G15" s="58"/>
      <c r="H15" s="13">
        <f>1</f>
        <v>1</v>
      </c>
      <c r="J15" s="204"/>
      <c r="K15" s="1" t="s">
        <v>28</v>
      </c>
      <c r="L15" s="4">
        <v>0.121</v>
      </c>
      <c r="M15" s="4">
        <v>0.121</v>
      </c>
      <c r="N15" s="23">
        <f t="shared" si="5"/>
        <v>0</v>
      </c>
    </row>
    <row r="16" spans="1:14" ht="15.75" thickBot="1" x14ac:dyDescent="0.3">
      <c r="A16" s="8" t="s">
        <v>46</v>
      </c>
      <c r="B16" s="7">
        <v>0.19400000000000001</v>
      </c>
      <c r="D16" s="210"/>
      <c r="E16" s="59"/>
      <c r="F16" s="6">
        <f>(H4)*(J4)*($B$4)*($B$5)*($B$7)*(1/24)*($B$8)*(1/17)*(1000)</f>
        <v>0</v>
      </c>
      <c r="G16" s="59"/>
      <c r="H16" s="14" t="e">
        <f>(1/F17)</f>
        <v>#DIV/0!</v>
      </c>
      <c r="J16" s="205"/>
      <c r="K16" s="24" t="s">
        <v>29</v>
      </c>
      <c r="L16" s="25">
        <v>0.121</v>
      </c>
      <c r="M16" s="25">
        <v>0.121</v>
      </c>
      <c r="N16" s="26">
        <f t="shared" si="5"/>
        <v>0</v>
      </c>
    </row>
    <row r="17" spans="1:16" ht="15.75" customHeight="1" thickBot="1" x14ac:dyDescent="0.3">
      <c r="A17" s="8" t="s">
        <v>47</v>
      </c>
      <c r="B17" s="7">
        <v>16.2302</v>
      </c>
      <c r="D17" s="211"/>
      <c r="E17" s="60"/>
      <c r="F17" s="15" t="e">
        <f t="shared" ref="F17:H17" si="6">F15/F16</f>
        <v>#DIV/0!</v>
      </c>
      <c r="G17" s="60"/>
      <c r="H17" s="16" t="e">
        <f t="shared" si="6"/>
        <v>#DIV/0!</v>
      </c>
      <c r="J17" s="203" t="s">
        <v>24</v>
      </c>
      <c r="K17" s="20" t="s">
        <v>26</v>
      </c>
      <c r="L17" s="56"/>
      <c r="M17" s="56"/>
      <c r="N17" s="57"/>
    </row>
    <row r="18" spans="1:16" x14ac:dyDescent="0.25">
      <c r="A18" s="8" t="s">
        <v>48</v>
      </c>
      <c r="B18" s="7">
        <v>0.5</v>
      </c>
      <c r="D18" s="209" t="s">
        <v>25</v>
      </c>
      <c r="E18" s="12">
        <f>($B$2)*($B$3)*(G5)</f>
        <v>1.9754846066134545E-7</v>
      </c>
      <c r="F18" s="12">
        <f>($B$2)*($B$3)*(G5)</f>
        <v>1.9754846066134545E-7</v>
      </c>
      <c r="G18" s="12">
        <f>($B$2)*($B$3)*(G5)</f>
        <v>1.9754846066134545E-7</v>
      </c>
      <c r="H18" s="13">
        <f>1</f>
        <v>1</v>
      </c>
      <c r="J18" s="204"/>
      <c r="K18" s="1" t="s">
        <v>27</v>
      </c>
      <c r="L18" s="4">
        <v>0.29899999999999999</v>
      </c>
      <c r="M18" s="4">
        <v>0.29899999999999999</v>
      </c>
      <c r="N18" s="23">
        <f t="shared" ref="N18:N20" si="7">(L18-M18)/((1/2)*(L18+M18))</f>
        <v>0</v>
      </c>
    </row>
    <row r="19" spans="1:16" x14ac:dyDescent="0.25">
      <c r="A19" s="8" t="s">
        <v>49</v>
      </c>
      <c r="B19" s="7">
        <v>18.776199999999999</v>
      </c>
      <c r="D19" s="210"/>
      <c r="E19" s="6">
        <f>(H5)*(I5)*($B$4)*($B$5)*($B$6)*(1/1000)</f>
        <v>6.5541803665509914E-9</v>
      </c>
      <c r="F19" s="6">
        <f>(H5)*(J5)*($B$4)*($B$5)*($B$7)*(1/24)*($B$8)*(1/B9)*(1000)</f>
        <v>1.6484014670381793E-2</v>
      </c>
      <c r="G19" s="6">
        <f>(H5)*(K5)*($B$4)*(1/365)*($B$5)*($B$7)*(1/24)*($B$10)*(1)</f>
        <v>2.8321385090915425E-11</v>
      </c>
      <c r="H19" s="14">
        <f>(1/E20)+(1/F20)+(1/G20)</f>
        <v>83442.924321955972</v>
      </c>
      <c r="J19" s="204"/>
      <c r="K19" s="1" t="s">
        <v>28</v>
      </c>
      <c r="L19" s="61"/>
      <c r="M19" s="61"/>
      <c r="N19" s="62"/>
    </row>
    <row r="20" spans="1:16" ht="15.75" thickBot="1" x14ac:dyDescent="0.3">
      <c r="A20" s="8" t="s">
        <v>50</v>
      </c>
      <c r="B20" s="7">
        <v>216.108</v>
      </c>
      <c r="D20" s="211"/>
      <c r="E20" s="15">
        <f>E18/E19</f>
        <v>30.140833729496745</v>
      </c>
      <c r="F20" s="15">
        <f t="shared" ref="F20:H20" si="8">F18/F19</f>
        <v>1.1984244409603522E-5</v>
      </c>
      <c r="G20" s="15">
        <f t="shared" si="8"/>
        <v>6975.2400889712326</v>
      </c>
      <c r="H20" s="16">
        <f t="shared" si="8"/>
        <v>1.1984239623980608E-5</v>
      </c>
      <c r="J20" s="205"/>
      <c r="K20" s="24" t="s">
        <v>29</v>
      </c>
      <c r="L20" s="25">
        <v>0.29899999999999999</v>
      </c>
      <c r="M20" s="25">
        <v>0.29899999999999999</v>
      </c>
      <c r="N20" s="26">
        <f t="shared" si="7"/>
        <v>0</v>
      </c>
    </row>
    <row r="21" spans="1:16" ht="15.75" thickBot="1" x14ac:dyDescent="0.3">
      <c r="J21" s="203" t="s">
        <v>25</v>
      </c>
      <c r="K21" s="20" t="s">
        <v>26</v>
      </c>
      <c r="L21" s="21">
        <v>30.1</v>
      </c>
      <c r="M21" s="21">
        <v>30.3</v>
      </c>
      <c r="N21" s="22">
        <f>(L21-M21)/((1/2)*(L21+M21))</f>
        <v>-6.6225165562913664E-3</v>
      </c>
    </row>
    <row r="22" spans="1:16" x14ac:dyDescent="0.25">
      <c r="A22" s="195" t="s">
        <v>35</v>
      </c>
      <c r="B22" s="196"/>
      <c r="C22" s="196"/>
      <c r="D22" s="196"/>
      <c r="E22" s="196"/>
      <c r="F22" s="196"/>
      <c r="G22" s="197"/>
      <c r="J22" s="204"/>
      <c r="K22" s="1" t="s">
        <v>27</v>
      </c>
      <c r="L22" s="4">
        <v>230</v>
      </c>
      <c r="M22" s="4">
        <v>230</v>
      </c>
      <c r="N22" s="23">
        <f t="shared" ref="N22:N24" si="9">(L22-M22)/((1/2)*(L22+M22))</f>
        <v>0</v>
      </c>
    </row>
    <row r="23" spans="1:16" x14ac:dyDescent="0.25">
      <c r="A23" s="41"/>
      <c r="B23" s="198" t="s">
        <v>33</v>
      </c>
      <c r="C23" s="198"/>
      <c r="D23" s="198"/>
      <c r="E23" s="198" t="s">
        <v>34</v>
      </c>
      <c r="F23" s="198"/>
      <c r="G23" s="199"/>
      <c r="J23" s="204"/>
      <c r="K23" s="1" t="s">
        <v>28</v>
      </c>
      <c r="L23" s="4">
        <v>6980</v>
      </c>
      <c r="M23" s="4">
        <v>6980</v>
      </c>
      <c r="N23" s="23">
        <f t="shared" si="9"/>
        <v>0</v>
      </c>
    </row>
    <row r="24" spans="1:16" ht="26.25" thickBot="1" x14ac:dyDescent="0.3">
      <c r="A24" s="27"/>
      <c r="B24" s="10" t="s">
        <v>27</v>
      </c>
      <c r="C24" s="10" t="s">
        <v>28</v>
      </c>
      <c r="D24" s="29" t="s">
        <v>29</v>
      </c>
      <c r="E24" s="30" t="s">
        <v>27</v>
      </c>
      <c r="F24" s="10" t="s">
        <v>28</v>
      </c>
      <c r="G24" s="42" t="s">
        <v>29</v>
      </c>
      <c r="J24" s="205"/>
      <c r="K24" s="24" t="s">
        <v>29</v>
      </c>
      <c r="L24" s="25">
        <v>26.5</v>
      </c>
      <c r="M24" s="25">
        <v>26.6</v>
      </c>
      <c r="N24" s="26">
        <f t="shared" si="9"/>
        <v>-3.7664783427495828E-3</v>
      </c>
    </row>
    <row r="25" spans="1:16" x14ac:dyDescent="0.25">
      <c r="A25" s="200" t="s">
        <v>22</v>
      </c>
      <c r="B25" s="21" t="e">
        <f>($B$2)*(#REF!)*($B$3)</f>
        <v>#REF!</v>
      </c>
      <c r="C25" s="21" t="e">
        <f>($B$2)*(#REF!)*($B$3)</f>
        <v>#REF!</v>
      </c>
      <c r="D25" s="31">
        <f>1</f>
        <v>1</v>
      </c>
      <c r="E25" s="32">
        <f>($B$2)</f>
        <v>9.9999999999999995E-7</v>
      </c>
      <c r="F25" s="32">
        <f>($B$2)</f>
        <v>9.9999999999999995E-7</v>
      </c>
      <c r="G25" s="33">
        <f>1</f>
        <v>1</v>
      </c>
      <c r="H25" s="184"/>
    </row>
    <row r="26" spans="1:16" x14ac:dyDescent="0.25">
      <c r="A26" s="201" t="s">
        <v>23</v>
      </c>
      <c r="B26" s="4" t="e">
        <f>(#REF!)*(#REF!)*($B$4)*($B$5)*($B$7)*(1/24)*($B$8)</f>
        <v>#REF!</v>
      </c>
      <c r="C26" s="4" t="e">
        <f>(#REF!)*(#REF!)*($B$4)*(1/365)*($B$5)*($B$7)*(1/24)*($B$11)</f>
        <v>#REF!</v>
      </c>
      <c r="D26" s="34" t="e">
        <f>(1/B27)+(1/C27)</f>
        <v>#REF!</v>
      </c>
      <c r="E26" s="35" t="e">
        <f>(#REF!)*($B$4)*($B$5)*($B$7)*(1/24)*($B$8)</f>
        <v>#REF!</v>
      </c>
      <c r="F26" s="4" t="e">
        <f>(#REF!)*($B$4)*(1/365)*($B$5)*($B$7)*(1/24)*($B$11)</f>
        <v>#REF!</v>
      </c>
      <c r="G26" s="36" t="e">
        <f>(1/E27)+(1/F27)</f>
        <v>#REF!</v>
      </c>
      <c r="H26" s="184"/>
      <c r="I26" s="184"/>
      <c r="J26" s="184"/>
      <c r="K26" s="191"/>
      <c r="L26" s="184"/>
      <c r="M26" s="184"/>
      <c r="N26" s="184"/>
      <c r="O26" s="184"/>
      <c r="P26" s="184"/>
    </row>
    <row r="27" spans="1:16" ht="15.75" thickBot="1" x14ac:dyDescent="0.3">
      <c r="A27" s="202" t="s">
        <v>24</v>
      </c>
      <c r="B27" s="37" t="e">
        <f>B25/B26</f>
        <v>#REF!</v>
      </c>
      <c r="C27" s="37" t="e">
        <f t="shared" ref="C27:G27" si="10">C25/C26</f>
        <v>#REF!</v>
      </c>
      <c r="D27" s="38" t="e">
        <f t="shared" si="10"/>
        <v>#REF!</v>
      </c>
      <c r="E27" s="39" t="e">
        <f t="shared" si="10"/>
        <v>#REF!</v>
      </c>
      <c r="F27" s="37" t="e">
        <f t="shared" si="10"/>
        <v>#REF!</v>
      </c>
      <c r="G27" s="40" t="e">
        <f t="shared" si="10"/>
        <v>#REF!</v>
      </c>
      <c r="H27" s="182"/>
      <c r="I27" s="184"/>
      <c r="J27" s="184"/>
      <c r="K27" s="191"/>
      <c r="L27" s="181"/>
      <c r="M27" s="181"/>
      <c r="N27" s="100"/>
      <c r="O27" s="100"/>
      <c r="P27" s="188"/>
    </row>
    <row r="28" spans="1:16" ht="26.25" customHeight="1" x14ac:dyDescent="0.25">
      <c r="A28" s="200" t="s">
        <v>23</v>
      </c>
      <c r="B28" s="21" t="e">
        <f>($B$2)*(#REF!)*($B$3)</f>
        <v>#REF!</v>
      </c>
      <c r="C28" s="21" t="e">
        <f>($B$2)*(#REF!)*($B$3)</f>
        <v>#REF!</v>
      </c>
      <c r="D28" s="31">
        <f>1</f>
        <v>1</v>
      </c>
      <c r="E28" s="32">
        <f>($B$2)</f>
        <v>9.9999999999999995E-7</v>
      </c>
      <c r="F28" s="32">
        <f>($B$2)</f>
        <v>9.9999999999999995E-7</v>
      </c>
      <c r="G28" s="33">
        <f>1</f>
        <v>1</v>
      </c>
      <c r="H28" s="107"/>
      <c r="I28" s="182"/>
      <c r="J28" s="182"/>
      <c r="K28" s="191"/>
      <c r="L28" s="189"/>
      <c r="M28" s="100"/>
      <c r="N28" s="107"/>
      <c r="O28" s="107"/>
      <c r="P28" s="190"/>
    </row>
    <row r="29" spans="1:16" x14ac:dyDescent="0.25">
      <c r="A29" s="201" t="s">
        <v>22</v>
      </c>
      <c r="B29" s="4" t="e">
        <f>(#REF!)*(#REF!)*($B$4)*($B$5)*($B$7)*(1/24)*($B$8)</f>
        <v>#REF!</v>
      </c>
      <c r="C29" s="4" t="e">
        <f>(#REF!)*(#REF!)*($B$4)*(1/365)*($B$5)*($B$7)*(1/24)*($B$11)</f>
        <v>#REF!</v>
      </c>
      <c r="D29" s="34" t="e">
        <f>(1/B30)+(1/C30)</f>
        <v>#REF!</v>
      </c>
      <c r="E29" s="35" t="e">
        <f>(#REF!)*($B$4)*($B$5)*($B$7)*(1/24)*($B$8)</f>
        <v>#REF!</v>
      </c>
      <c r="F29" s="4" t="e">
        <f>(#REF!)*($B$4)*(1/365)*($B$5)*($B$7)*(1/24)*($B$11)</f>
        <v>#REF!</v>
      </c>
      <c r="G29" s="36" t="e">
        <f>(1/E30)+(1/F30)</f>
        <v>#REF!</v>
      </c>
      <c r="H29" s="107"/>
      <c r="I29" s="107"/>
      <c r="J29" s="107"/>
      <c r="K29" s="191"/>
      <c r="L29" s="189"/>
      <c r="M29" s="100"/>
      <c r="N29" s="107"/>
      <c r="O29" s="107"/>
      <c r="P29" s="190"/>
    </row>
    <row r="30" spans="1:16" ht="15.75" thickBot="1" x14ac:dyDescent="0.3">
      <c r="A30" s="202" t="s">
        <v>23</v>
      </c>
      <c r="B30" s="37" t="e">
        <f>B28/B29</f>
        <v>#REF!</v>
      </c>
      <c r="C30" s="37" t="e">
        <f t="shared" ref="C30:G30" si="11">C28/C29</f>
        <v>#REF!</v>
      </c>
      <c r="D30" s="38" t="e">
        <f t="shared" si="11"/>
        <v>#REF!</v>
      </c>
      <c r="E30" s="39" t="e">
        <f t="shared" si="11"/>
        <v>#REF!</v>
      </c>
      <c r="F30" s="37" t="e">
        <f t="shared" si="11"/>
        <v>#REF!</v>
      </c>
      <c r="G30" s="40" t="e">
        <f t="shared" si="11"/>
        <v>#REF!</v>
      </c>
      <c r="H30" s="107"/>
      <c r="I30" s="107"/>
      <c r="J30" s="107"/>
      <c r="K30" s="191"/>
      <c r="L30" s="189"/>
      <c r="M30" s="100"/>
      <c r="N30" s="107"/>
      <c r="O30" s="107"/>
      <c r="P30" s="190"/>
    </row>
    <row r="31" spans="1:16" x14ac:dyDescent="0.25">
      <c r="A31" s="200" t="s">
        <v>24</v>
      </c>
      <c r="B31" s="21">
        <f>($B$2)*(D1)*($B$3)</f>
        <v>0</v>
      </c>
      <c r="C31" s="56"/>
      <c r="D31" s="31">
        <f>1</f>
        <v>1</v>
      </c>
      <c r="E31" s="32">
        <f>($B$2)</f>
        <v>9.9999999999999995E-7</v>
      </c>
      <c r="F31" s="56"/>
      <c r="G31" s="33">
        <f>1</f>
        <v>1</v>
      </c>
      <c r="H31" s="107"/>
      <c r="I31" s="107"/>
      <c r="J31" s="183"/>
      <c r="K31" s="191"/>
      <c r="L31" s="189"/>
      <c r="M31" s="100"/>
      <c r="N31" s="107"/>
      <c r="O31" s="107"/>
      <c r="P31" s="190"/>
    </row>
    <row r="32" spans="1:16" x14ac:dyDescent="0.25">
      <c r="A32" s="201" t="s">
        <v>25</v>
      </c>
      <c r="B32" s="4" t="e">
        <f>(E1)*(G1)*($B$4)*($B$5)*($B$7)*(1/24)*($B$8)</f>
        <v>#VALUE!</v>
      </c>
      <c r="C32" s="61"/>
      <c r="D32" s="34" t="e">
        <f>(1/B33)</f>
        <v>#VALUE!</v>
      </c>
      <c r="E32" s="35" t="e">
        <f>(G1)*($B$4)*($B$5)*($B$7)*(1/24)*($B$8)</f>
        <v>#VALUE!</v>
      </c>
      <c r="F32" s="61"/>
      <c r="G32" s="36" t="e">
        <f>(1/E33)</f>
        <v>#VALUE!</v>
      </c>
      <c r="H32" s="107"/>
      <c r="I32" s="107"/>
      <c r="J32" s="107"/>
      <c r="K32" s="191"/>
      <c r="L32" s="189"/>
      <c r="M32" s="100"/>
      <c r="N32" s="107"/>
      <c r="O32" s="107"/>
      <c r="P32" s="190"/>
    </row>
    <row r="33" spans="1:16" ht="15.75" thickBot="1" x14ac:dyDescent="0.3">
      <c r="A33" s="202" t="s">
        <v>22</v>
      </c>
      <c r="B33" s="37" t="e">
        <f>B31/B32</f>
        <v>#VALUE!</v>
      </c>
      <c r="C33" s="64"/>
      <c r="D33" s="38" t="e">
        <f t="shared" ref="D33:E33" si="12">D31/D32</f>
        <v>#VALUE!</v>
      </c>
      <c r="E33" s="39" t="e">
        <f t="shared" si="12"/>
        <v>#VALUE!</v>
      </c>
      <c r="F33" s="64"/>
      <c r="G33" s="40" t="e">
        <f t="shared" ref="G33" si="13">G31/G32</f>
        <v>#VALUE!</v>
      </c>
      <c r="H33" s="107"/>
      <c r="I33" s="107"/>
      <c r="J33" s="107"/>
      <c r="K33" s="191"/>
      <c r="L33" s="189"/>
      <c r="M33" s="100"/>
      <c r="N33" s="107"/>
      <c r="O33" s="107"/>
      <c r="P33" s="190"/>
    </row>
    <row r="34" spans="1:16" ht="15.75" customHeight="1" x14ac:dyDescent="0.25">
      <c r="A34" s="200" t="s">
        <v>25</v>
      </c>
      <c r="B34" s="21" t="e">
        <f>($B$2)*(D2)*($B$3)</f>
        <v>#VALUE!</v>
      </c>
      <c r="C34" s="21" t="e">
        <f>($B$2)*(D2)*($B$3)</f>
        <v>#VALUE!</v>
      </c>
      <c r="D34" s="31">
        <f>1</f>
        <v>1</v>
      </c>
      <c r="E34" s="32">
        <f>($B$2)</f>
        <v>9.9999999999999995E-7</v>
      </c>
      <c r="F34" s="32">
        <f>($B$2)</f>
        <v>9.9999999999999995E-7</v>
      </c>
      <c r="G34" s="33">
        <f>1</f>
        <v>1</v>
      </c>
      <c r="H34" s="107"/>
      <c r="I34" s="107"/>
      <c r="J34" s="183"/>
      <c r="K34" s="191"/>
      <c r="L34" s="189"/>
      <c r="M34" s="100"/>
      <c r="N34" s="107"/>
      <c r="O34" s="107"/>
      <c r="P34" s="190"/>
    </row>
    <row r="35" spans="1:16" x14ac:dyDescent="0.25">
      <c r="A35" s="201" t="s">
        <v>24</v>
      </c>
      <c r="B35" s="4" t="e">
        <f>(E2)*(G2)*($B$4)*($B$5)*($B$7)*(1/24)*($B$8)</f>
        <v>#VALUE!</v>
      </c>
      <c r="C35" s="4" t="e">
        <f>(E2)*(J2)*($B$4)*(1/365)*($B$5)*($B$7)*(1/24)*($B$11)</f>
        <v>#VALUE!</v>
      </c>
      <c r="D35" s="34" t="e">
        <f>(1/B36)+(1/C36)</f>
        <v>#VALUE!</v>
      </c>
      <c r="E35" s="35">
        <f>(G2)*($B$4)*($B$5)*($B$7)*(1/24)*($B$8)</f>
        <v>200.52083333333331</v>
      </c>
      <c r="F35" s="4">
        <f>(J2)*($B$4)*(1/365)*($B$5)*($B$7)*(1/24)*($B$11)</f>
        <v>0</v>
      </c>
      <c r="G35" s="36" t="e">
        <f>(1/E36)+(1/F36)</f>
        <v>#DIV/0!</v>
      </c>
      <c r="H35" s="107"/>
      <c r="I35" s="107"/>
      <c r="J35" s="107"/>
      <c r="K35" s="191"/>
      <c r="L35" s="189"/>
      <c r="M35" s="100"/>
      <c r="N35" s="107"/>
      <c r="O35" s="107"/>
      <c r="P35" s="190"/>
    </row>
    <row r="36" spans="1:16" ht="15.75" thickBot="1" x14ac:dyDescent="0.3">
      <c r="A36" s="202" t="s">
        <v>25</v>
      </c>
      <c r="B36" s="37" t="e">
        <f>B34/B35</f>
        <v>#VALUE!</v>
      </c>
      <c r="C36" s="37" t="e">
        <f t="shared" ref="C36:G36" si="14">C34/C35</f>
        <v>#VALUE!</v>
      </c>
      <c r="D36" s="38" t="e">
        <f t="shared" si="14"/>
        <v>#VALUE!</v>
      </c>
      <c r="E36" s="39">
        <f t="shared" si="14"/>
        <v>4.9870129870129875E-9</v>
      </c>
      <c r="F36" s="37" t="e">
        <f t="shared" si="14"/>
        <v>#DIV/0!</v>
      </c>
      <c r="G36" s="40" t="e">
        <f t="shared" si="14"/>
        <v>#DIV/0!</v>
      </c>
      <c r="H36" s="107"/>
      <c r="I36" s="107"/>
      <c r="J36" s="107"/>
      <c r="K36" s="191"/>
      <c r="L36" s="189"/>
      <c r="M36" s="100"/>
      <c r="N36" s="107"/>
      <c r="O36" s="107"/>
      <c r="P36" s="190"/>
    </row>
    <row r="37" spans="1:16" ht="15.75" thickBot="1" x14ac:dyDescent="0.3">
      <c r="D37" s="187"/>
      <c r="E37" s="107"/>
      <c r="F37" s="107"/>
      <c r="G37" s="107"/>
      <c r="H37" s="107"/>
      <c r="I37" s="107"/>
      <c r="J37" s="183"/>
      <c r="K37" s="191"/>
      <c r="L37" s="189"/>
      <c r="M37" s="100"/>
      <c r="N37" s="107"/>
      <c r="O37" s="107"/>
      <c r="P37" s="190"/>
    </row>
    <row r="38" spans="1:16" x14ac:dyDescent="0.25">
      <c r="A38" s="195" t="s">
        <v>35</v>
      </c>
      <c r="B38" s="196"/>
      <c r="C38" s="196"/>
      <c r="D38" s="196"/>
      <c r="E38" s="197"/>
      <c r="F38" s="107"/>
      <c r="G38" s="107"/>
      <c r="H38" s="107"/>
      <c r="I38" s="107"/>
      <c r="J38" s="107"/>
      <c r="K38" s="191"/>
      <c r="L38" s="189"/>
      <c r="M38" s="100"/>
      <c r="N38" s="107"/>
      <c r="O38" s="107"/>
      <c r="P38" s="190"/>
    </row>
    <row r="39" spans="1:16" ht="15.75" thickBot="1" x14ac:dyDescent="0.3">
      <c r="A39" s="27"/>
      <c r="B39" s="19"/>
      <c r="C39" s="11" t="s">
        <v>30</v>
      </c>
      <c r="D39" s="11" t="s">
        <v>31</v>
      </c>
      <c r="E39" s="28" t="s">
        <v>32</v>
      </c>
      <c r="F39" s="107"/>
      <c r="G39" s="183"/>
      <c r="H39" s="107"/>
      <c r="I39" s="107"/>
      <c r="J39" s="107"/>
      <c r="K39" s="191"/>
      <c r="L39" s="189"/>
      <c r="M39" s="100"/>
      <c r="N39" s="107"/>
      <c r="O39" s="107"/>
      <c r="P39" s="190"/>
    </row>
    <row r="40" spans="1:16" ht="15.75" customHeight="1" x14ac:dyDescent="0.25">
      <c r="A40" s="203" t="s">
        <v>22</v>
      </c>
      <c r="B40" s="20" t="s">
        <v>27</v>
      </c>
      <c r="C40" s="21">
        <v>2.1599999999999999E-4</v>
      </c>
      <c r="D40" s="21">
        <v>2.1599999999999999E-4</v>
      </c>
      <c r="E40" s="43">
        <f>(C40-D40)/((1/2)*(C40+D40))</f>
        <v>0</v>
      </c>
      <c r="I40" s="107"/>
      <c r="J40" s="183"/>
      <c r="K40" s="191"/>
      <c r="L40" s="189"/>
      <c r="M40" s="100"/>
      <c r="N40" s="107"/>
      <c r="O40" s="107"/>
      <c r="P40" s="190"/>
    </row>
    <row r="41" spans="1:16" x14ac:dyDescent="0.25">
      <c r="A41" s="204"/>
      <c r="B41" s="1" t="s">
        <v>28</v>
      </c>
      <c r="C41" s="4">
        <v>3080</v>
      </c>
      <c r="D41" s="4">
        <v>3080</v>
      </c>
      <c r="E41" s="44">
        <f t="shared" ref="E41:E52" si="15">(C41-D41)/((1/2)*(C41+D41))</f>
        <v>0</v>
      </c>
      <c r="K41" s="191"/>
      <c r="L41" s="189"/>
      <c r="M41" s="100"/>
      <c r="N41" s="107"/>
      <c r="O41" s="107"/>
      <c r="P41" s="190"/>
    </row>
    <row r="42" spans="1:16" ht="15.75" thickBot="1" x14ac:dyDescent="0.3">
      <c r="A42" s="204"/>
      <c r="B42" s="53" t="s">
        <v>29</v>
      </c>
      <c r="C42" s="54">
        <v>2.1599999999999999E-4</v>
      </c>
      <c r="D42" s="54">
        <v>2.1599999999999999E-4</v>
      </c>
      <c r="E42" s="55">
        <f t="shared" si="15"/>
        <v>0</v>
      </c>
      <c r="K42" s="191"/>
      <c r="L42" s="189"/>
      <c r="M42" s="100"/>
      <c r="N42" s="107"/>
      <c r="O42" s="107"/>
      <c r="P42" s="190"/>
    </row>
    <row r="43" spans="1:16" x14ac:dyDescent="0.25">
      <c r="A43" s="204"/>
      <c r="B43" s="50" t="s">
        <v>27</v>
      </c>
      <c r="C43" s="51">
        <v>2.12E-4</v>
      </c>
      <c r="D43" s="51">
        <v>2.12E-4</v>
      </c>
      <c r="E43" s="52">
        <f t="shared" si="15"/>
        <v>0</v>
      </c>
      <c r="K43" s="191"/>
      <c r="L43" s="189"/>
      <c r="M43" s="100"/>
      <c r="N43" s="107"/>
      <c r="O43" s="107"/>
      <c r="P43" s="190"/>
    </row>
    <row r="44" spans="1:16" x14ac:dyDescent="0.25">
      <c r="A44" s="204"/>
      <c r="B44" s="1" t="s">
        <v>28</v>
      </c>
      <c r="C44" s="4">
        <v>3020</v>
      </c>
      <c r="D44" s="4">
        <v>3020</v>
      </c>
      <c r="E44" s="44">
        <f t="shared" si="15"/>
        <v>0</v>
      </c>
      <c r="K44" s="191"/>
      <c r="L44" s="189"/>
      <c r="M44" s="100"/>
      <c r="N44" s="107"/>
      <c r="O44" s="107"/>
      <c r="P44" s="190"/>
    </row>
    <row r="45" spans="1:16" ht="15.75" thickBot="1" x14ac:dyDescent="0.3">
      <c r="A45" s="205"/>
      <c r="B45" s="24" t="s">
        <v>29</v>
      </c>
      <c r="C45" s="25">
        <v>2.12E-4</v>
      </c>
      <c r="D45" s="25">
        <v>2.12E-4</v>
      </c>
      <c r="E45" s="45">
        <f t="shared" si="15"/>
        <v>0</v>
      </c>
      <c r="K45" s="191"/>
      <c r="L45" s="189"/>
      <c r="M45" s="100"/>
      <c r="N45" s="107"/>
      <c r="O45" s="107"/>
      <c r="P45" s="190"/>
    </row>
    <row r="46" spans="1:16" ht="15.75" customHeight="1" x14ac:dyDescent="0.25">
      <c r="A46" s="206" t="s">
        <v>23</v>
      </c>
      <c r="B46" s="20" t="s">
        <v>27</v>
      </c>
      <c r="C46" s="21">
        <v>0.27</v>
      </c>
      <c r="D46" s="21">
        <v>0.27100000000000002</v>
      </c>
      <c r="E46" s="43">
        <f t="shared" si="15"/>
        <v>-3.6968576709796703E-3</v>
      </c>
      <c r="K46" s="191"/>
      <c r="L46" s="189"/>
      <c r="M46" s="100"/>
      <c r="N46" s="107"/>
      <c r="O46" s="107"/>
      <c r="P46" s="190"/>
    </row>
    <row r="47" spans="1:16" x14ac:dyDescent="0.25">
      <c r="A47" s="207"/>
      <c r="B47" s="1" t="s">
        <v>28</v>
      </c>
      <c r="C47" s="4">
        <v>52.9</v>
      </c>
      <c r="D47" s="4">
        <v>53.2</v>
      </c>
      <c r="E47" s="44">
        <f t="shared" si="15"/>
        <v>-5.6550424128181771E-3</v>
      </c>
      <c r="K47" s="191"/>
      <c r="L47" s="189"/>
      <c r="M47" s="100"/>
      <c r="N47" s="107"/>
      <c r="O47" s="107"/>
      <c r="P47" s="190"/>
    </row>
    <row r="48" spans="1:16" ht="15.75" thickBot="1" x14ac:dyDescent="0.3">
      <c r="A48" s="207"/>
      <c r="B48" s="53" t="s">
        <v>29</v>
      </c>
      <c r="C48" s="54">
        <v>0.26900000000000002</v>
      </c>
      <c r="D48" s="54">
        <v>0.27</v>
      </c>
      <c r="E48" s="55">
        <f t="shared" si="15"/>
        <v>-3.7105751391465708E-3</v>
      </c>
      <c r="K48" s="191"/>
      <c r="L48" s="189"/>
      <c r="M48" s="100"/>
      <c r="N48" s="107"/>
      <c r="O48" s="107"/>
      <c r="P48" s="190"/>
    </row>
    <row r="49" spans="1:16" x14ac:dyDescent="0.25">
      <c r="A49" s="207"/>
      <c r="B49" s="50" t="s">
        <v>27</v>
      </c>
      <c r="C49" s="51">
        <v>7.9200000000000007E-2</v>
      </c>
      <c r="D49" s="51">
        <v>7.9500000000000001E-2</v>
      </c>
      <c r="E49" s="52">
        <f t="shared" si="15"/>
        <v>-3.7807183364838653E-3</v>
      </c>
      <c r="K49" s="191"/>
      <c r="L49" s="189"/>
      <c r="M49" s="100"/>
      <c r="N49" s="107"/>
      <c r="O49" s="107"/>
      <c r="P49" s="190"/>
    </row>
    <row r="50" spans="1:16" x14ac:dyDescent="0.25">
      <c r="A50" s="207"/>
      <c r="B50" s="1" t="s">
        <v>28</v>
      </c>
      <c r="C50" s="4">
        <v>15.5</v>
      </c>
      <c r="D50" s="4">
        <v>15.6</v>
      </c>
      <c r="E50" s="44">
        <f t="shared" si="15"/>
        <v>-6.4308681672025489E-3</v>
      </c>
      <c r="K50" s="191"/>
      <c r="L50" s="189"/>
      <c r="M50" s="100"/>
      <c r="N50" s="107"/>
      <c r="O50" s="107"/>
      <c r="P50" s="190"/>
    </row>
    <row r="51" spans="1:16" ht="15.75" thickBot="1" x14ac:dyDescent="0.3">
      <c r="A51" s="208"/>
      <c r="B51" s="24" t="s">
        <v>29</v>
      </c>
      <c r="C51" s="25">
        <v>7.8799999999999995E-2</v>
      </c>
      <c r="D51" s="25">
        <v>7.9100000000000004E-2</v>
      </c>
      <c r="E51" s="45">
        <f t="shared" si="15"/>
        <v>-3.7998733375555239E-3</v>
      </c>
      <c r="K51" s="191"/>
      <c r="L51" s="189"/>
      <c r="M51" s="100"/>
      <c r="N51" s="107"/>
      <c r="O51" s="107"/>
      <c r="P51" s="190"/>
    </row>
    <row r="52" spans="1:16" x14ac:dyDescent="0.25">
      <c r="A52" s="206" t="s">
        <v>24</v>
      </c>
      <c r="B52" s="20" t="s">
        <v>27</v>
      </c>
      <c r="C52" s="21">
        <v>17.600000000000001</v>
      </c>
      <c r="D52" s="21">
        <v>17.600000000000001</v>
      </c>
      <c r="E52" s="43">
        <f t="shared" si="15"/>
        <v>0</v>
      </c>
      <c r="K52" s="191"/>
      <c r="L52" s="191"/>
      <c r="M52" s="191"/>
      <c r="N52" s="191"/>
      <c r="O52" s="191"/>
      <c r="P52" s="191"/>
    </row>
    <row r="53" spans="1:16" x14ac:dyDescent="0.25">
      <c r="A53" s="207"/>
      <c r="B53" s="1" t="s">
        <v>28</v>
      </c>
      <c r="C53" s="61"/>
      <c r="D53" s="61"/>
      <c r="E53" s="63"/>
      <c r="K53" s="191"/>
      <c r="L53" s="191"/>
      <c r="M53" s="191"/>
      <c r="N53" s="191"/>
      <c r="O53" s="191"/>
      <c r="P53" s="191"/>
    </row>
    <row r="54" spans="1:16" ht="15.75" thickBot="1" x14ac:dyDescent="0.3">
      <c r="A54" s="207"/>
      <c r="B54" s="53" t="s">
        <v>29</v>
      </c>
      <c r="C54" s="54">
        <v>17.600000000000001</v>
      </c>
      <c r="D54" s="54">
        <v>17.600000000000001</v>
      </c>
      <c r="E54" s="55">
        <f t="shared" ref="E54:E55" si="16">(C54-D54)/((1/2)*(C54+D54))</f>
        <v>0</v>
      </c>
      <c r="F54" s="184"/>
      <c r="G54" s="184"/>
      <c r="H54" s="184"/>
      <c r="K54" s="191"/>
      <c r="L54" s="191"/>
      <c r="M54" s="191"/>
      <c r="N54" s="191"/>
      <c r="O54" s="191"/>
      <c r="P54" s="191"/>
    </row>
    <row r="55" spans="1:16" x14ac:dyDescent="0.25">
      <c r="A55" s="207"/>
      <c r="B55" s="50" t="s">
        <v>27</v>
      </c>
      <c r="C55" s="51">
        <v>9.4499999999999993</v>
      </c>
      <c r="D55" s="51">
        <v>9.44</v>
      </c>
      <c r="E55" s="52">
        <f t="shared" si="16"/>
        <v>1.0587612493382515E-3</v>
      </c>
      <c r="F55" s="184"/>
      <c r="G55" s="184"/>
      <c r="H55" s="184"/>
    </row>
    <row r="56" spans="1:16" x14ac:dyDescent="0.25">
      <c r="A56" s="207"/>
      <c r="B56" s="1" t="s">
        <v>28</v>
      </c>
      <c r="C56" s="61"/>
      <c r="D56" s="61"/>
      <c r="E56" s="63"/>
      <c r="F56" s="182"/>
      <c r="G56" s="182"/>
      <c r="H56" s="182"/>
    </row>
    <row r="57" spans="1:16" ht="15.75" thickBot="1" x14ac:dyDescent="0.3">
      <c r="A57" s="208"/>
      <c r="B57" s="24" t="s">
        <v>29</v>
      </c>
      <c r="C57" s="25">
        <v>9.4499999999999993</v>
      </c>
      <c r="D57" s="25">
        <v>9.44</v>
      </c>
      <c r="E57" s="45">
        <f t="shared" ref="E57:E63" si="17">(C57-D57)/((1/2)*(C57+D57))</f>
        <v>1.0587612493382515E-3</v>
      </c>
      <c r="F57" s="107"/>
      <c r="G57" s="107"/>
      <c r="H57" s="107"/>
    </row>
    <row r="58" spans="1:16" x14ac:dyDescent="0.25">
      <c r="A58" s="206" t="s">
        <v>25</v>
      </c>
      <c r="B58" s="20" t="s">
        <v>27</v>
      </c>
      <c r="C58" s="21">
        <v>1.6899999999999999E-4</v>
      </c>
      <c r="D58" s="21">
        <v>1.6899999999999999E-4</v>
      </c>
      <c r="E58" s="43">
        <f t="shared" si="17"/>
        <v>0</v>
      </c>
      <c r="F58" s="107"/>
      <c r="G58" s="107"/>
      <c r="H58" s="107"/>
    </row>
    <row r="59" spans="1:16" x14ac:dyDescent="0.25">
      <c r="A59" s="207"/>
      <c r="B59" s="1" t="s">
        <v>28</v>
      </c>
      <c r="C59" s="4">
        <v>754000</v>
      </c>
      <c r="D59" s="4">
        <v>755000</v>
      </c>
      <c r="E59" s="44">
        <f t="shared" si="17"/>
        <v>-1.3253810470510272E-3</v>
      </c>
      <c r="F59" s="107"/>
      <c r="G59" s="107"/>
      <c r="H59" s="183"/>
    </row>
    <row r="60" spans="1:16" ht="15.75" thickBot="1" x14ac:dyDescent="0.3">
      <c r="A60" s="207"/>
      <c r="B60" s="53" t="s">
        <v>29</v>
      </c>
      <c r="C60" s="54">
        <v>1.6899999999999999E-4</v>
      </c>
      <c r="D60" s="54">
        <v>1.6899999999999999E-4</v>
      </c>
      <c r="E60" s="55">
        <f t="shared" si="17"/>
        <v>0</v>
      </c>
      <c r="F60" s="107"/>
      <c r="G60" s="107"/>
      <c r="H60" s="107"/>
    </row>
    <row r="61" spans="1:16" x14ac:dyDescent="0.25">
      <c r="A61" s="207"/>
      <c r="B61" s="50" t="s">
        <v>27</v>
      </c>
      <c r="C61" s="51">
        <v>1.5300000000000001E-4</v>
      </c>
      <c r="D61" s="51">
        <v>1.5300000000000001E-4</v>
      </c>
      <c r="E61" s="52">
        <f t="shared" si="17"/>
        <v>0</v>
      </c>
      <c r="F61" s="107"/>
      <c r="G61" s="107"/>
      <c r="H61" s="107"/>
    </row>
    <row r="62" spans="1:16" x14ac:dyDescent="0.25">
      <c r="A62" s="207"/>
      <c r="B62" s="1" t="s">
        <v>28</v>
      </c>
      <c r="C62" s="4">
        <v>684000</v>
      </c>
      <c r="D62" s="4">
        <v>685000</v>
      </c>
      <c r="E62" s="44">
        <f t="shared" si="17"/>
        <v>-1.4609203798392988E-3</v>
      </c>
      <c r="F62" s="107"/>
      <c r="G62" s="107"/>
      <c r="H62" s="183"/>
    </row>
    <row r="63" spans="1:16" ht="15.75" thickBot="1" x14ac:dyDescent="0.3">
      <c r="A63" s="208"/>
      <c r="B63" s="24" t="s">
        <v>29</v>
      </c>
      <c r="C63" s="25">
        <v>1.5300000000000001E-4</v>
      </c>
      <c r="D63" s="25">
        <v>1.5300000000000001E-4</v>
      </c>
      <c r="E63" s="45">
        <f t="shared" si="17"/>
        <v>0</v>
      </c>
      <c r="F63" s="107"/>
      <c r="G63" s="107"/>
      <c r="H63" s="107"/>
    </row>
    <row r="64" spans="1:16" x14ac:dyDescent="0.25">
      <c r="B64" s="185"/>
      <c r="C64" s="107"/>
      <c r="D64" s="107"/>
      <c r="E64" s="107"/>
      <c r="F64" s="107"/>
      <c r="G64" s="107"/>
      <c r="H64" s="107"/>
    </row>
    <row r="65" spans="2:8" x14ac:dyDescent="0.25">
      <c r="B65" s="185"/>
      <c r="C65" s="107"/>
      <c r="D65" s="107"/>
      <c r="E65" s="183"/>
      <c r="F65" s="107"/>
      <c r="G65" s="107"/>
      <c r="H65" s="183"/>
    </row>
    <row r="66" spans="2:8" x14ac:dyDescent="0.25">
      <c r="B66" s="185"/>
      <c r="C66" s="107"/>
      <c r="D66" s="107"/>
      <c r="E66" s="107"/>
      <c r="F66" s="107"/>
      <c r="G66" s="107"/>
      <c r="H66" s="107"/>
    </row>
    <row r="67" spans="2:8" x14ac:dyDescent="0.25">
      <c r="B67" s="185"/>
      <c r="C67" s="107"/>
      <c r="D67" s="107"/>
      <c r="E67" s="107"/>
      <c r="F67" s="107"/>
      <c r="G67" s="107"/>
      <c r="H67" s="107"/>
    </row>
    <row r="68" spans="2:8" x14ac:dyDescent="0.25">
      <c r="B68" s="185"/>
      <c r="C68" s="107"/>
      <c r="D68" s="107"/>
      <c r="E68" s="183"/>
      <c r="F68" s="107"/>
      <c r="G68" s="107"/>
      <c r="H68" s="183"/>
    </row>
  </sheetData>
  <mergeCells count="22">
    <mergeCell ref="J7:N7"/>
    <mergeCell ref="D9:D11"/>
    <mergeCell ref="D12:D14"/>
    <mergeCell ref="D15:D17"/>
    <mergeCell ref="D18:D20"/>
    <mergeCell ref="D7:H7"/>
    <mergeCell ref="A52:A57"/>
    <mergeCell ref="A58:A63"/>
    <mergeCell ref="J9:J12"/>
    <mergeCell ref="J13:J16"/>
    <mergeCell ref="J17:J20"/>
    <mergeCell ref="J21:J24"/>
    <mergeCell ref="A31:A33"/>
    <mergeCell ref="A34:A36"/>
    <mergeCell ref="A38:E38"/>
    <mergeCell ref="A40:A45"/>
    <mergeCell ref="A46:A51"/>
    <mergeCell ref="A22:G22"/>
    <mergeCell ref="B23:D23"/>
    <mergeCell ref="E23:G23"/>
    <mergeCell ref="A25:A27"/>
    <mergeCell ref="A28:A30"/>
  </mergeCells>
  <conditionalFormatting sqref="N9:N24">
    <cfRule type="cellIs" dxfId="23" priority="5" operator="lessThan">
      <formula>-0.01</formula>
    </cfRule>
    <cfRule type="cellIs" dxfId="22" priority="6" operator="notEqual">
      <formula>0</formula>
    </cfRule>
  </conditionalFormatting>
  <conditionalFormatting sqref="P28:P51">
    <cfRule type="cellIs" dxfId="21" priority="3" operator="lessThan">
      <formula>-0.01</formula>
    </cfRule>
    <cfRule type="cellIs" dxfId="20" priority="4" operator="notEqual">
      <formula>0</formula>
    </cfRule>
  </conditionalFormatting>
  <conditionalFormatting sqref="E40:E63">
    <cfRule type="cellIs" dxfId="19" priority="1" operator="lessThan">
      <formula>-0.01</formula>
    </cfRule>
    <cfRule type="cellIs" dxfId="18" priority="2" operator="notEqual">
      <formula>0</formula>
    </cfRule>
  </conditionalFormatting>
  <pageMargins left="0.7" right="0.7" top="0.75" bottom="0.75" header="0.3" footer="0.3"/>
  <pageSetup scale="52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zoomScale="40" zoomScaleNormal="40" workbookViewId="0">
      <selection activeCell="X22" sqref="X22"/>
    </sheetView>
  </sheetViews>
  <sheetFormatPr defaultRowHeight="15" x14ac:dyDescent="0.25"/>
  <cols>
    <col min="2" max="2" width="9.28515625" bestFit="1" customWidth="1"/>
    <col min="5" max="5" width="10.42578125" customWidth="1"/>
    <col min="6" max="6" width="9.7109375" customWidth="1"/>
    <col min="7" max="8" width="12.5703125" bestFit="1" customWidth="1"/>
    <col min="11" max="11" width="10.28515625" bestFit="1" customWidth="1"/>
    <col min="12" max="12" width="9.5703125" customWidth="1"/>
    <col min="13" max="13" width="10.28515625" bestFit="1" customWidth="1"/>
    <col min="14" max="14" width="9.5703125" customWidth="1"/>
  </cols>
  <sheetData>
    <row r="1" spans="1:14" x14ac:dyDescent="0.25">
      <c r="A1" s="1" t="s">
        <v>0</v>
      </c>
      <c r="B1" s="1" t="s">
        <v>1</v>
      </c>
      <c r="D1" s="2"/>
      <c r="E1" s="7" t="s">
        <v>70</v>
      </c>
      <c r="F1" s="1" t="s">
        <v>21</v>
      </c>
      <c r="G1" s="3" t="s">
        <v>4</v>
      </c>
      <c r="H1" s="1" t="s">
        <v>36</v>
      </c>
      <c r="I1" s="48" t="s">
        <v>37</v>
      </c>
      <c r="J1" s="48" t="s">
        <v>38</v>
      </c>
      <c r="K1" s="48" t="s">
        <v>39</v>
      </c>
      <c r="L1" s="48" t="s">
        <v>40</v>
      </c>
      <c r="M1" s="48" t="s">
        <v>41</v>
      </c>
    </row>
    <row r="2" spans="1:14" x14ac:dyDescent="0.25">
      <c r="A2" s="1" t="s">
        <v>2</v>
      </c>
      <c r="B2" s="6">
        <v>9.9999999999999995E-7</v>
      </c>
      <c r="D2" s="7" t="s">
        <v>22</v>
      </c>
      <c r="E2" s="7" t="s">
        <v>77</v>
      </c>
      <c r="F2" s="4">
        <v>432</v>
      </c>
      <c r="G2" s="4">
        <f>0.693/F2</f>
        <v>1.6041666666666665E-3</v>
      </c>
      <c r="H2" s="4">
        <f>(1-EXP(-(G2)*$B$3))</f>
        <v>3.9310637868486542E-2</v>
      </c>
      <c r="I2" s="4">
        <f>'Isotope Specific Factors'!F11</f>
        <v>9.0999999999999996E-11</v>
      </c>
      <c r="J2" s="4">
        <f>'Isotope Specific Factors'!C19</f>
        <v>0</v>
      </c>
      <c r="K2" s="4">
        <f>'Isotope Specific Factors'!D3</f>
        <v>2.77E-8</v>
      </c>
      <c r="L2" s="4">
        <v>1</v>
      </c>
      <c r="M2" s="4">
        <f>'Isotope Specific Factors'!I3</f>
        <v>5.8100000000000005E-11</v>
      </c>
    </row>
    <row r="3" spans="1:14" x14ac:dyDescent="0.25">
      <c r="A3" s="1" t="s">
        <v>14</v>
      </c>
      <c r="B3" s="7">
        <v>25</v>
      </c>
      <c r="D3" s="7" t="s">
        <v>23</v>
      </c>
      <c r="E3" s="7" t="s">
        <v>77</v>
      </c>
      <c r="F3" s="4">
        <v>5.27</v>
      </c>
      <c r="G3" s="4">
        <f t="shared" ref="G3:G5" si="0">0.693/F3</f>
        <v>0.13149905123339659</v>
      </c>
      <c r="H3" s="4">
        <f t="shared" ref="H3:H5" si="1">(1-EXP(-(G3)*$B$3))</f>
        <v>0.9626520136123895</v>
      </c>
      <c r="I3" s="4">
        <f>'Isotope Specific Factors'!F12</f>
        <v>7.3300000000000005E-12</v>
      </c>
      <c r="J3" s="4">
        <f>'Isotope Specific Factors'!C24</f>
        <v>1</v>
      </c>
      <c r="K3" s="4">
        <f>'Isotope Specific Factors'!D4</f>
        <v>1.24E-5</v>
      </c>
      <c r="L3" s="49">
        <v>1</v>
      </c>
      <c r="M3" s="4">
        <f>'Isotope Specific Factors'!I4</f>
        <v>1.1299999999999999E-8</v>
      </c>
    </row>
    <row r="4" spans="1:14" x14ac:dyDescent="0.25">
      <c r="A4" s="3" t="s">
        <v>15</v>
      </c>
      <c r="B4" s="7">
        <v>225</v>
      </c>
      <c r="D4" s="7" t="s">
        <v>24</v>
      </c>
      <c r="E4" s="7" t="s">
        <v>77</v>
      </c>
      <c r="F4" s="4">
        <v>12.3</v>
      </c>
      <c r="G4" s="4">
        <f t="shared" si="0"/>
        <v>5.6341463414634141E-2</v>
      </c>
      <c r="H4" s="4">
        <f t="shared" si="1"/>
        <v>0.75549917243911779</v>
      </c>
      <c r="I4" s="4">
        <f>'Isotope Specific Factors'!F14</f>
        <v>0</v>
      </c>
      <c r="J4" s="4">
        <f>'Isotope Specific Factors'!C27</f>
        <v>0</v>
      </c>
      <c r="K4" s="4">
        <f>'Isotope Specific Factors'!D6</f>
        <v>0</v>
      </c>
      <c r="L4" s="4">
        <v>0.9</v>
      </c>
      <c r="M4" s="49">
        <f>'Isotope Specific Factors'!I6</f>
        <v>0</v>
      </c>
    </row>
    <row r="5" spans="1:14" x14ac:dyDescent="0.25">
      <c r="A5" s="3" t="s">
        <v>16</v>
      </c>
      <c r="B5" s="7">
        <v>25</v>
      </c>
      <c r="D5" s="7" t="s">
        <v>25</v>
      </c>
      <c r="E5" s="7" t="s">
        <v>77</v>
      </c>
      <c r="F5" s="4">
        <v>87.7</v>
      </c>
      <c r="G5" s="4">
        <f t="shared" si="0"/>
        <v>7.9019384264538192E-3</v>
      </c>
      <c r="H5" s="4">
        <f t="shared" si="1"/>
        <v>0.17925963395695022</v>
      </c>
      <c r="I5" s="4">
        <f>'Isotope Specific Factors'!F15</f>
        <v>1.1700000000000001E-10</v>
      </c>
      <c r="J5" s="4">
        <f>'Isotope Specific Factors'!C31</f>
        <v>1</v>
      </c>
      <c r="K5" s="4">
        <f>'Isotope Specific Factors'!D7</f>
        <v>6.9200000000000004E-11</v>
      </c>
      <c r="L5" s="49">
        <v>1</v>
      </c>
      <c r="M5" s="4">
        <f>'Isotope Specific Factors'!I7</f>
        <v>2.5600000000000002E-13</v>
      </c>
    </row>
    <row r="6" spans="1:14" ht="15.75" thickBot="1" x14ac:dyDescent="0.3">
      <c r="A6" s="3" t="s">
        <v>17</v>
      </c>
      <c r="B6" s="7">
        <v>100</v>
      </c>
    </row>
    <row r="7" spans="1:14" x14ac:dyDescent="0.25">
      <c r="A7" s="3" t="s">
        <v>18</v>
      </c>
      <c r="B7" s="7">
        <v>8</v>
      </c>
      <c r="D7" s="195" t="s">
        <v>12</v>
      </c>
      <c r="E7" s="196"/>
      <c r="F7" s="196"/>
      <c r="G7" s="196"/>
      <c r="H7" s="197"/>
      <c r="J7" s="195" t="s">
        <v>12</v>
      </c>
      <c r="K7" s="196"/>
      <c r="L7" s="196"/>
      <c r="M7" s="196"/>
      <c r="N7" s="197"/>
    </row>
    <row r="8" spans="1:14" ht="15.75" customHeight="1" thickBot="1" x14ac:dyDescent="0.3">
      <c r="A8" s="3" t="s">
        <v>19</v>
      </c>
      <c r="B8" s="7">
        <v>60</v>
      </c>
      <c r="D8" s="17"/>
      <c r="E8" s="10" t="s">
        <v>26</v>
      </c>
      <c r="F8" s="11" t="s">
        <v>27</v>
      </c>
      <c r="G8" s="11" t="s">
        <v>28</v>
      </c>
      <c r="H8" s="18" t="s">
        <v>29</v>
      </c>
      <c r="J8" s="27"/>
      <c r="K8" s="19"/>
      <c r="L8" s="11" t="s">
        <v>30</v>
      </c>
      <c r="M8" s="11" t="s">
        <v>31</v>
      </c>
      <c r="N8" s="28" t="s">
        <v>32</v>
      </c>
    </row>
    <row r="9" spans="1:14" ht="15" customHeight="1" x14ac:dyDescent="0.25">
      <c r="A9" s="5" t="s">
        <v>10</v>
      </c>
      <c r="B9" s="6">
        <f>(B12)*(3600/(0.036*(1-B13)*((B14/B15)^3)*(B16)))</f>
        <v>1359344473.5814338</v>
      </c>
      <c r="D9" s="209" t="s">
        <v>22</v>
      </c>
      <c r="E9" s="12">
        <f>($B$2)*($B$3)*(G2)</f>
        <v>4.0104166666666658E-8</v>
      </c>
      <c r="F9" s="12">
        <f>($B$2)*($B$3)*(G2)</f>
        <v>4.0104166666666658E-8</v>
      </c>
      <c r="G9" s="12">
        <f>($B$2)*($B$3)*(G2)</f>
        <v>4.0104166666666658E-8</v>
      </c>
      <c r="H9" s="13">
        <f>1</f>
        <v>1</v>
      </c>
      <c r="J9" s="203" t="s">
        <v>22</v>
      </c>
      <c r="K9" s="20" t="s">
        <v>26</v>
      </c>
      <c r="L9" s="21">
        <v>19.899999999999999</v>
      </c>
      <c r="M9" s="21">
        <v>19.899999999999999</v>
      </c>
      <c r="N9" s="22">
        <f>(L9-M9)/((1/2)*(L9+M9))</f>
        <v>0</v>
      </c>
    </row>
    <row r="10" spans="1:14" x14ac:dyDescent="0.25">
      <c r="A10" s="3" t="s">
        <v>20</v>
      </c>
      <c r="B10" s="7">
        <v>1</v>
      </c>
      <c r="D10" s="210"/>
      <c r="E10" s="6">
        <f>(H2)*(I2)*($B$4)*($B$5)*($B$6)*(1/1000)</f>
        <v>2.0122132758931551E-9</v>
      </c>
      <c r="F10" s="6">
        <f>(H2)*(J2)*($B$4)*($B$5)*($B$7)*(1/24)*($B$8)*(1/B9)*(1000)</f>
        <v>0</v>
      </c>
      <c r="G10" s="6">
        <f>(H2)*(K2)*($B$4)*(1/365)*($B$5)*($B$7)*(1/24)*($B$10)*(1)</f>
        <v>5.5936883679301897E-9</v>
      </c>
      <c r="H10" s="14" t="e">
        <f>(1/E11)+(1/F11)+(1/G11)</f>
        <v>#DIV/0!</v>
      </c>
      <c r="J10" s="204"/>
      <c r="K10" s="1" t="s">
        <v>27</v>
      </c>
      <c r="L10" s="4">
        <v>327</v>
      </c>
      <c r="M10" s="4">
        <v>327</v>
      </c>
      <c r="N10" s="23">
        <f t="shared" ref="N10:N12" si="2">(L10-M10)/((1/2)*(L10+M10))</f>
        <v>0</v>
      </c>
    </row>
    <row r="11" spans="1:14" ht="15.75" thickBot="1" x14ac:dyDescent="0.3">
      <c r="A11" s="8" t="s">
        <v>13</v>
      </c>
      <c r="B11" s="9">
        <v>1</v>
      </c>
      <c r="D11" s="211"/>
      <c r="E11" s="15">
        <f>E9/E10</f>
        <v>19.93037574452228</v>
      </c>
      <c r="F11" s="15" t="e">
        <f t="shared" ref="F11:H11" si="3">F9/F10</f>
        <v>#DIV/0!</v>
      </c>
      <c r="G11" s="15">
        <f t="shared" si="3"/>
        <v>7.1695389569058605</v>
      </c>
      <c r="H11" s="16" t="e">
        <f t="shared" si="3"/>
        <v>#DIV/0!</v>
      </c>
      <c r="J11" s="204"/>
      <c r="K11" s="1" t="s">
        <v>28</v>
      </c>
      <c r="L11" s="4">
        <v>7.17</v>
      </c>
      <c r="M11" s="4">
        <v>7.18</v>
      </c>
      <c r="N11" s="23">
        <f t="shared" si="2"/>
        <v>-1.393728222996486E-3</v>
      </c>
    </row>
    <row r="12" spans="1:14" ht="15" customHeight="1" thickBot="1" x14ac:dyDescent="0.3">
      <c r="A12" s="5" t="s">
        <v>42</v>
      </c>
      <c r="B12" s="65">
        <f>(B17)*EXP((((LN(B18))-B19)^2)/B20)</f>
        <v>93.773582452087695</v>
      </c>
      <c r="D12" s="209" t="s">
        <v>23</v>
      </c>
      <c r="E12" s="12">
        <f>($B$2)*($B$3)*(G3)</f>
        <v>3.2874762808349142E-6</v>
      </c>
      <c r="F12" s="12">
        <f>($B$2)*($B$3)*(G3)</f>
        <v>3.2874762808349142E-6</v>
      </c>
      <c r="G12" s="12">
        <f>($B$2)*($B$3)*(G3)</f>
        <v>3.2874762808349142E-6</v>
      </c>
      <c r="H12" s="13">
        <f>1</f>
        <v>1</v>
      </c>
      <c r="J12" s="205"/>
      <c r="K12" s="24" t="s">
        <v>29</v>
      </c>
      <c r="L12" s="25">
        <v>5.19</v>
      </c>
      <c r="M12" s="25">
        <v>5.19</v>
      </c>
      <c r="N12" s="26">
        <f t="shared" si="2"/>
        <v>0</v>
      </c>
    </row>
    <row r="13" spans="1:14" ht="15" customHeight="1" x14ac:dyDescent="0.25">
      <c r="A13" s="8" t="s">
        <v>43</v>
      </c>
      <c r="B13" s="7">
        <v>0.5</v>
      </c>
      <c r="D13" s="210"/>
      <c r="E13" s="6">
        <f>(H3)*(I3)*($B$4)*($B$5)*($B$6)*(1/1000)</f>
        <v>3.9691345836255831E-9</v>
      </c>
      <c r="F13" s="6">
        <f>(H3)*(J3)*($B$4)*($B$5)*($B$7)*(1/24)*($B$8)*(1/B9)*(1000)</f>
        <v>7.9669541927119197E-2</v>
      </c>
      <c r="G13" s="6">
        <f>(H3)*(K3)*($B$4)*(1/365)*($B$5)*($B$7)*(1/24)*($B$10)*(1)</f>
        <v>6.1319614565720688E-5</v>
      </c>
      <c r="H13" s="14">
        <f>(1/E14)+(1/F14)+(1/G14)</f>
        <v>24252.909739799066</v>
      </c>
      <c r="J13" s="203" t="s">
        <v>23</v>
      </c>
      <c r="K13" s="20" t="s">
        <v>26</v>
      </c>
      <c r="L13" s="21">
        <v>828</v>
      </c>
      <c r="M13" s="21">
        <v>829</v>
      </c>
      <c r="N13" s="22">
        <f>(L13-M13)/((1/2)*(L13+M13))</f>
        <v>-1.2070006035003018E-3</v>
      </c>
    </row>
    <row r="14" spans="1:14" ht="15.75" thickBot="1" x14ac:dyDescent="0.3">
      <c r="A14" s="8" t="s">
        <v>44</v>
      </c>
      <c r="B14" s="7">
        <v>4.6900000000000004</v>
      </c>
      <c r="D14" s="211"/>
      <c r="E14" s="15">
        <f>E12/E13</f>
        <v>828.26021934282403</v>
      </c>
      <c r="F14" s="15">
        <f t="shared" ref="F14:H14" si="4">F12/F13</f>
        <v>4.1263903385339667E-5</v>
      </c>
      <c r="G14" s="15">
        <f t="shared" si="4"/>
        <v>5.3612148480018364E-2</v>
      </c>
      <c r="H14" s="16">
        <f t="shared" si="4"/>
        <v>4.1232165984562189E-5</v>
      </c>
      <c r="J14" s="204"/>
      <c r="K14" s="1" t="s">
        <v>27</v>
      </c>
      <c r="L14" s="4">
        <v>409000</v>
      </c>
      <c r="M14" s="4">
        <v>410000</v>
      </c>
      <c r="N14" s="23">
        <f t="shared" ref="N14:N16" si="5">(L14-M14)/((1/2)*(L14+M14))</f>
        <v>-2.442002442002442E-3</v>
      </c>
    </row>
    <row r="15" spans="1:14" x14ac:dyDescent="0.25">
      <c r="A15" s="8" t="s">
        <v>45</v>
      </c>
      <c r="B15" s="7">
        <v>11.32</v>
      </c>
      <c r="D15" s="209" t="s">
        <v>24</v>
      </c>
      <c r="E15" s="58"/>
      <c r="F15" s="12">
        <f>($B$2)*($B$3)*(G4)</f>
        <v>1.4085365853658534E-6</v>
      </c>
      <c r="G15" s="58"/>
      <c r="H15" s="13">
        <f>1</f>
        <v>1</v>
      </c>
      <c r="J15" s="204"/>
      <c r="K15" s="1" t="s">
        <v>28</v>
      </c>
      <c r="L15" s="4">
        <v>5.3600000000000002E-2</v>
      </c>
      <c r="M15" s="4">
        <v>5.3699999999999998E-2</v>
      </c>
      <c r="N15" s="23">
        <f t="shared" si="5"/>
        <v>-1.8639328984155811E-3</v>
      </c>
    </row>
    <row r="16" spans="1:14" ht="15" customHeight="1" thickBot="1" x14ac:dyDescent="0.3">
      <c r="A16" s="8" t="s">
        <v>46</v>
      </c>
      <c r="B16" s="7">
        <v>0.19400000000000001</v>
      </c>
      <c r="D16" s="210"/>
      <c r="E16" s="59"/>
      <c r="F16" s="6">
        <f>(H4)*(J4)*($B$4)*($B$5)*($B$7)*(1/24)*($B$8)*(1/17)*(1000)</f>
        <v>0</v>
      </c>
      <c r="G16" s="59"/>
      <c r="H16" s="14" t="e">
        <f>(1/F17)</f>
        <v>#DIV/0!</v>
      </c>
      <c r="J16" s="205"/>
      <c r="K16" s="24" t="s">
        <v>29</v>
      </c>
      <c r="L16" s="25">
        <v>5.3600000000000002E-2</v>
      </c>
      <c r="M16" s="25">
        <v>5.3699999999999998E-2</v>
      </c>
      <c r="N16" s="26">
        <f t="shared" si="5"/>
        <v>-1.8639328984155811E-3</v>
      </c>
    </row>
    <row r="17" spans="1:16" ht="15.75" customHeight="1" thickBot="1" x14ac:dyDescent="0.3">
      <c r="A17" s="8" t="s">
        <v>47</v>
      </c>
      <c r="B17" s="7">
        <v>16.2302</v>
      </c>
      <c r="D17" s="211"/>
      <c r="E17" s="60"/>
      <c r="F17" s="15" t="e">
        <f t="shared" ref="F17:H17" si="6">F15/F16</f>
        <v>#DIV/0!</v>
      </c>
      <c r="G17" s="60"/>
      <c r="H17" s="16" t="e">
        <f t="shared" si="6"/>
        <v>#DIV/0!</v>
      </c>
      <c r="J17" s="203" t="s">
        <v>24</v>
      </c>
      <c r="K17" s="20" t="s">
        <v>26</v>
      </c>
      <c r="L17" s="56"/>
      <c r="M17" s="56"/>
      <c r="N17" s="57"/>
    </row>
    <row r="18" spans="1:16" x14ac:dyDescent="0.25">
      <c r="A18" s="8" t="s">
        <v>48</v>
      </c>
      <c r="B18" s="7">
        <v>0.5</v>
      </c>
      <c r="D18" s="209" t="s">
        <v>25</v>
      </c>
      <c r="E18" s="12">
        <f>($B$2)*($B$3)*(G5)</f>
        <v>1.9754846066134545E-7</v>
      </c>
      <c r="F18" s="12">
        <f>($B$2)*($B$3)*(G5)</f>
        <v>1.9754846066134545E-7</v>
      </c>
      <c r="G18" s="12">
        <f>($B$2)*($B$3)*(G5)</f>
        <v>1.9754846066134545E-7</v>
      </c>
      <c r="H18" s="13">
        <f>1</f>
        <v>1</v>
      </c>
      <c r="J18" s="204"/>
      <c r="K18" s="1" t="s">
        <v>27</v>
      </c>
      <c r="L18" s="4">
        <v>0.33300000000000002</v>
      </c>
      <c r="M18" s="4">
        <v>0.33200000000000002</v>
      </c>
      <c r="N18" s="23">
        <f t="shared" ref="N18:N20" si="7">(L18-M18)/((1/2)*(L18+M18))</f>
        <v>3.0075187969924836E-3</v>
      </c>
    </row>
    <row r="19" spans="1:16" x14ac:dyDescent="0.25">
      <c r="A19" s="8" t="s">
        <v>49</v>
      </c>
      <c r="B19" s="7">
        <v>18.776199999999999</v>
      </c>
      <c r="D19" s="210"/>
      <c r="E19" s="6">
        <f>(H5)*(I5)*($B$4)*($B$5)*($B$6)*(1/1000)</f>
        <v>1.1797524659791788E-8</v>
      </c>
      <c r="F19" s="6">
        <f>(H5)*(J5)*($B$4)*($B$5)*($B$7)*(1/24)*($B$8)*(1/B9)*(1000)</f>
        <v>1.4835613203343617E-2</v>
      </c>
      <c r="G19" s="6">
        <f>(H5)*(K5)*($B$4)*(1/365)*($B$5)*($B$7)*(1/24)*($B$10)*(1)</f>
        <v>6.3723116454559699E-11</v>
      </c>
      <c r="H19" s="14">
        <f>(1/E20)+(1/F20)+(1/G20)</f>
        <v>75098.661943126426</v>
      </c>
      <c r="J19" s="204"/>
      <c r="K19" s="1" t="s">
        <v>28</v>
      </c>
      <c r="L19" s="61"/>
      <c r="M19" s="61"/>
      <c r="N19" s="62"/>
    </row>
    <row r="20" spans="1:16" ht="15.75" customHeight="1" thickBot="1" x14ac:dyDescent="0.3">
      <c r="A20" s="8" t="s">
        <v>50</v>
      </c>
      <c r="B20" s="7">
        <v>216.108</v>
      </c>
      <c r="D20" s="211"/>
      <c r="E20" s="15">
        <f>E18/E19</f>
        <v>16.744907627498186</v>
      </c>
      <c r="F20" s="15">
        <f t="shared" ref="F20:H20" si="8">F18/F19</f>
        <v>1.3315827121781689E-5</v>
      </c>
      <c r="G20" s="15">
        <f t="shared" si="8"/>
        <v>3100.1067062094371</v>
      </c>
      <c r="H20" s="16">
        <f t="shared" si="8"/>
        <v>1.3315816475629328E-5</v>
      </c>
      <c r="J20" s="205"/>
      <c r="K20" s="24" t="s">
        <v>29</v>
      </c>
      <c r="L20" s="25">
        <v>0.33300000000000002</v>
      </c>
      <c r="M20" s="25">
        <v>0.33200000000000002</v>
      </c>
      <c r="N20" s="26">
        <f t="shared" si="7"/>
        <v>3.0075187969924836E-3</v>
      </c>
    </row>
    <row r="21" spans="1:16" ht="15.75" thickBot="1" x14ac:dyDescent="0.3">
      <c r="J21" s="203" t="s">
        <v>25</v>
      </c>
      <c r="K21" s="20" t="s">
        <v>26</v>
      </c>
      <c r="L21" s="21">
        <v>16.7</v>
      </c>
      <c r="M21" s="21">
        <v>16.8</v>
      </c>
      <c r="N21" s="22">
        <f>(L21-M21)/((1/2)*(L21+M21))</f>
        <v>-5.9701492537314283E-3</v>
      </c>
    </row>
    <row r="22" spans="1:16" x14ac:dyDescent="0.25">
      <c r="A22" s="195" t="s">
        <v>35</v>
      </c>
      <c r="B22" s="196"/>
      <c r="C22" s="196"/>
      <c r="D22" s="196"/>
      <c r="E22" s="196"/>
      <c r="F22" s="196"/>
      <c r="G22" s="197"/>
      <c r="J22" s="204"/>
      <c r="K22" s="1" t="s">
        <v>27</v>
      </c>
      <c r="L22" s="4">
        <v>255</v>
      </c>
      <c r="M22" s="4">
        <v>255</v>
      </c>
      <c r="N22" s="23">
        <f t="shared" ref="N22:N24" si="9">(L22-M22)/((1/2)*(L22+M22))</f>
        <v>0</v>
      </c>
    </row>
    <row r="23" spans="1:16" x14ac:dyDescent="0.25">
      <c r="A23" s="41"/>
      <c r="B23" s="198" t="s">
        <v>33</v>
      </c>
      <c r="C23" s="198"/>
      <c r="D23" s="198"/>
      <c r="E23" s="198" t="s">
        <v>34</v>
      </c>
      <c r="F23" s="198"/>
      <c r="G23" s="199"/>
      <c r="J23" s="204"/>
      <c r="K23" s="1" t="s">
        <v>28</v>
      </c>
      <c r="L23" s="4">
        <v>3100</v>
      </c>
      <c r="M23" s="4">
        <v>3100</v>
      </c>
      <c r="N23" s="23">
        <f t="shared" si="9"/>
        <v>0</v>
      </c>
    </row>
    <row r="24" spans="1:16" ht="15.75" thickBot="1" x14ac:dyDescent="0.3">
      <c r="A24" s="27"/>
      <c r="B24" s="10" t="s">
        <v>27</v>
      </c>
      <c r="C24" s="10" t="s">
        <v>28</v>
      </c>
      <c r="D24" s="29" t="s">
        <v>29</v>
      </c>
      <c r="E24" s="30" t="s">
        <v>27</v>
      </c>
      <c r="F24" s="10" t="s">
        <v>28</v>
      </c>
      <c r="G24" s="42" t="s">
        <v>29</v>
      </c>
      <c r="J24" s="205"/>
      <c r="K24" s="24" t="s">
        <v>29</v>
      </c>
      <c r="L24" s="25">
        <v>15.6</v>
      </c>
      <c r="M24" s="25">
        <v>15.7</v>
      </c>
      <c r="N24" s="26">
        <f t="shared" si="9"/>
        <v>-6.3897763578274541E-3</v>
      </c>
    </row>
    <row r="25" spans="1:16" x14ac:dyDescent="0.25">
      <c r="A25" s="200" t="s">
        <v>22</v>
      </c>
      <c r="B25" s="21" t="e">
        <f>($B$2)*(#REF!)*($B$3)</f>
        <v>#REF!</v>
      </c>
      <c r="C25" s="21" t="e">
        <f>($B$2)*(#REF!)*($B$3)</f>
        <v>#REF!</v>
      </c>
      <c r="D25" s="31">
        <f>1</f>
        <v>1</v>
      </c>
      <c r="E25" s="32">
        <f>($B$2)</f>
        <v>9.9999999999999995E-7</v>
      </c>
      <c r="F25" s="32">
        <f>($B$2)</f>
        <v>9.9999999999999995E-7</v>
      </c>
      <c r="G25" s="33">
        <f>1</f>
        <v>1</v>
      </c>
    </row>
    <row r="26" spans="1:16" x14ac:dyDescent="0.25">
      <c r="A26" s="201" t="s">
        <v>23</v>
      </c>
      <c r="B26" s="4" t="e">
        <f>(#REF!)*(#REF!)*($B$4)*($B$5)*($B$7)*(1/24)*($B$8)</f>
        <v>#REF!</v>
      </c>
      <c r="C26" s="4" t="e">
        <f>(#REF!)*(#REF!)*($B$4)*(1/365)*($B$5)*($B$7)*(1/24)*($B$11)</f>
        <v>#REF!</v>
      </c>
      <c r="D26" s="34" t="e">
        <f>(1/B27)+(1/C27)</f>
        <v>#REF!</v>
      </c>
      <c r="E26" s="35" t="e">
        <f>(#REF!)*($B$4)*($B$5)*($B$7)*(1/24)*($B$8)</f>
        <v>#REF!</v>
      </c>
      <c r="F26" s="4" t="e">
        <f>(#REF!)*($B$4)*(1/365)*($B$5)*($B$7)*(1/24)*($B$11)</f>
        <v>#REF!</v>
      </c>
      <c r="G26" s="36" t="e">
        <f>(1/E27)+(1/F27)</f>
        <v>#REF!</v>
      </c>
      <c r="H26" s="184"/>
      <c r="I26" s="184"/>
      <c r="J26" s="184"/>
      <c r="L26" s="184"/>
      <c r="M26" s="184"/>
      <c r="N26" s="184"/>
      <c r="O26" s="184"/>
      <c r="P26" s="184"/>
    </row>
    <row r="27" spans="1:16" ht="15.75" thickBot="1" x14ac:dyDescent="0.3">
      <c r="A27" s="202" t="s">
        <v>24</v>
      </c>
      <c r="B27" s="37" t="e">
        <f>B25/B26</f>
        <v>#REF!</v>
      </c>
      <c r="C27" s="37" t="e">
        <f t="shared" ref="C27:G27" si="10">C25/C26</f>
        <v>#REF!</v>
      </c>
      <c r="D27" s="38" t="e">
        <f t="shared" si="10"/>
        <v>#REF!</v>
      </c>
      <c r="E27" s="39" t="e">
        <f t="shared" si="10"/>
        <v>#REF!</v>
      </c>
      <c r="F27" s="37" t="e">
        <f t="shared" si="10"/>
        <v>#REF!</v>
      </c>
      <c r="G27" s="40" t="e">
        <f t="shared" si="10"/>
        <v>#REF!</v>
      </c>
      <c r="H27" s="184"/>
      <c r="I27" s="184"/>
      <c r="J27" s="184"/>
      <c r="L27" s="181"/>
      <c r="M27" s="181"/>
      <c r="N27" s="100"/>
      <c r="O27" s="100"/>
      <c r="P27" s="188"/>
    </row>
    <row r="28" spans="1:16" x14ac:dyDescent="0.25">
      <c r="A28" s="200" t="s">
        <v>23</v>
      </c>
      <c r="B28" s="21" t="e">
        <f>($B$2)*(#REF!)*($B$3)</f>
        <v>#REF!</v>
      </c>
      <c r="C28" s="21" t="e">
        <f>($B$2)*(#REF!)*($B$3)</f>
        <v>#REF!</v>
      </c>
      <c r="D28" s="31">
        <f>1</f>
        <v>1</v>
      </c>
      <c r="E28" s="32">
        <f>($B$2)</f>
        <v>9.9999999999999995E-7</v>
      </c>
      <c r="F28" s="32">
        <f>($B$2)</f>
        <v>9.9999999999999995E-7</v>
      </c>
      <c r="G28" s="33">
        <f>1</f>
        <v>1</v>
      </c>
      <c r="H28" s="182"/>
      <c r="I28" s="182"/>
      <c r="J28" s="182"/>
      <c r="L28" s="189"/>
      <c r="M28" s="100"/>
      <c r="N28" s="107"/>
      <c r="O28" s="107"/>
      <c r="P28" s="190"/>
    </row>
    <row r="29" spans="1:16" x14ac:dyDescent="0.25">
      <c r="A29" s="201" t="s">
        <v>22</v>
      </c>
      <c r="B29" s="4" t="e">
        <f>(#REF!)*(#REF!)*($B$4)*($B$5)*($B$7)*(1/24)*($B$8)</f>
        <v>#REF!</v>
      </c>
      <c r="C29" s="4" t="e">
        <f>(#REF!)*(#REF!)*($B$4)*(1/365)*($B$5)*($B$7)*(1/24)*($B$11)</f>
        <v>#REF!</v>
      </c>
      <c r="D29" s="34" t="e">
        <f>(1/B30)+(1/C30)</f>
        <v>#REF!</v>
      </c>
      <c r="E29" s="35" t="e">
        <f>(#REF!)*($B$4)*($B$5)*($B$7)*(1/24)*($B$8)</f>
        <v>#REF!</v>
      </c>
      <c r="F29" s="4" t="e">
        <f>(#REF!)*($B$4)*(1/365)*($B$5)*($B$7)*(1/24)*($B$11)</f>
        <v>#REF!</v>
      </c>
      <c r="G29" s="36" t="e">
        <f>(1/E30)+(1/F30)</f>
        <v>#REF!</v>
      </c>
      <c r="H29" s="107"/>
      <c r="I29" s="107"/>
      <c r="J29" s="107"/>
      <c r="L29" s="189"/>
      <c r="M29" s="100"/>
      <c r="N29" s="107"/>
      <c r="O29" s="107"/>
      <c r="P29" s="190"/>
    </row>
    <row r="30" spans="1:16" ht="15.75" thickBot="1" x14ac:dyDescent="0.3">
      <c r="A30" s="202" t="s">
        <v>23</v>
      </c>
      <c r="B30" s="37" t="e">
        <f>B28/B29</f>
        <v>#REF!</v>
      </c>
      <c r="C30" s="37" t="e">
        <f t="shared" ref="C30:G30" si="11">C28/C29</f>
        <v>#REF!</v>
      </c>
      <c r="D30" s="38" t="e">
        <f t="shared" si="11"/>
        <v>#REF!</v>
      </c>
      <c r="E30" s="39" t="e">
        <f t="shared" si="11"/>
        <v>#REF!</v>
      </c>
      <c r="F30" s="37" t="e">
        <f t="shared" si="11"/>
        <v>#REF!</v>
      </c>
      <c r="G30" s="40" t="e">
        <f t="shared" si="11"/>
        <v>#REF!</v>
      </c>
      <c r="H30" s="107"/>
      <c r="I30" s="107"/>
      <c r="J30" s="107"/>
      <c r="L30" s="189"/>
      <c r="M30" s="100"/>
      <c r="N30" s="107"/>
      <c r="O30" s="107"/>
      <c r="P30" s="190"/>
    </row>
    <row r="31" spans="1:16" x14ac:dyDescent="0.25">
      <c r="A31" s="200" t="s">
        <v>24</v>
      </c>
      <c r="B31" s="21" t="e">
        <f>($B$2)*(#REF!)*($B$3)</f>
        <v>#REF!</v>
      </c>
      <c r="C31" s="56"/>
      <c r="D31" s="31">
        <f>1</f>
        <v>1</v>
      </c>
      <c r="E31" s="32">
        <f>($B$2)</f>
        <v>9.9999999999999995E-7</v>
      </c>
      <c r="F31" s="56"/>
      <c r="G31" s="33">
        <f>1</f>
        <v>1</v>
      </c>
      <c r="H31" s="107"/>
      <c r="I31" s="107"/>
      <c r="J31" s="183"/>
      <c r="L31" s="189"/>
      <c r="M31" s="100"/>
      <c r="N31" s="107"/>
      <c r="O31" s="107"/>
      <c r="P31" s="190"/>
    </row>
    <row r="32" spans="1:16" x14ac:dyDescent="0.25">
      <c r="A32" s="201" t="s">
        <v>25</v>
      </c>
      <c r="B32" s="4" t="e">
        <f>(#REF!)*(#REF!)*($B$4)*($B$5)*($B$7)*(1/24)*($B$8)</f>
        <v>#REF!</v>
      </c>
      <c r="C32" s="61"/>
      <c r="D32" s="34" t="e">
        <f>(1/B33)</f>
        <v>#REF!</v>
      </c>
      <c r="E32" s="35" t="e">
        <f>(#REF!)*($B$4)*($B$5)*($B$7)*(1/24)*($B$8)</f>
        <v>#REF!</v>
      </c>
      <c r="F32" s="61"/>
      <c r="G32" s="36" t="e">
        <f>(1/E33)</f>
        <v>#REF!</v>
      </c>
      <c r="H32" s="107"/>
      <c r="I32" s="107"/>
      <c r="J32" s="107"/>
      <c r="L32" s="189"/>
      <c r="M32" s="100"/>
      <c r="N32" s="107"/>
      <c r="O32" s="107"/>
      <c r="P32" s="190"/>
    </row>
    <row r="33" spans="1:16" ht="15.75" thickBot="1" x14ac:dyDescent="0.3">
      <c r="A33" s="202" t="s">
        <v>22</v>
      </c>
      <c r="B33" s="37" t="e">
        <f>B31/B32</f>
        <v>#REF!</v>
      </c>
      <c r="C33" s="64"/>
      <c r="D33" s="38" t="e">
        <f t="shared" ref="D33:E33" si="12">D31/D32</f>
        <v>#REF!</v>
      </c>
      <c r="E33" s="39" t="e">
        <f t="shared" si="12"/>
        <v>#REF!</v>
      </c>
      <c r="F33" s="64"/>
      <c r="G33" s="40" t="e">
        <f t="shared" ref="G33" si="13">G31/G32</f>
        <v>#REF!</v>
      </c>
      <c r="H33" s="107"/>
      <c r="I33" s="107"/>
      <c r="J33" s="107"/>
      <c r="L33" s="189"/>
      <c r="M33" s="100"/>
      <c r="N33" s="107"/>
      <c r="O33" s="107"/>
      <c r="P33" s="190"/>
    </row>
    <row r="34" spans="1:16" x14ac:dyDescent="0.25">
      <c r="A34" s="200" t="s">
        <v>25</v>
      </c>
      <c r="B34" s="21">
        <f>($B$2)*(D1)*($B$3)</f>
        <v>0</v>
      </c>
      <c r="C34" s="21">
        <f>($B$2)*(D1)*($B$3)</f>
        <v>0</v>
      </c>
      <c r="D34" s="31">
        <f>1</f>
        <v>1</v>
      </c>
      <c r="E34" s="32">
        <f>($B$2)</f>
        <v>9.9999999999999995E-7</v>
      </c>
      <c r="F34" s="32">
        <f>($B$2)</f>
        <v>9.9999999999999995E-7</v>
      </c>
      <c r="G34" s="33">
        <f>1</f>
        <v>1</v>
      </c>
      <c r="H34" s="107"/>
      <c r="I34" s="107"/>
      <c r="J34" s="183"/>
      <c r="L34" s="189"/>
      <c r="M34" s="100"/>
      <c r="N34" s="107"/>
      <c r="O34" s="107"/>
      <c r="P34" s="190"/>
    </row>
    <row r="35" spans="1:16" x14ac:dyDescent="0.25">
      <c r="A35" s="201" t="s">
        <v>24</v>
      </c>
      <c r="B35" s="4" t="e">
        <f>(E1)*(G1)*($B$4)*($B$5)*($B$7)*(1/24)*($B$8)</f>
        <v>#VALUE!</v>
      </c>
      <c r="C35" s="4" t="e">
        <f>(E1)*(J1)*($B$4)*(1/365)*($B$5)*($B$7)*(1/24)*($B$11)</f>
        <v>#VALUE!</v>
      </c>
      <c r="D35" s="34" t="e">
        <f>(1/B36)+(1/C36)</f>
        <v>#VALUE!</v>
      </c>
      <c r="E35" s="35" t="e">
        <f>(G1)*($B$4)*($B$5)*($B$7)*(1/24)*($B$8)</f>
        <v>#VALUE!</v>
      </c>
      <c r="F35" s="4" t="e">
        <f>(J1)*($B$4)*(1/365)*($B$5)*($B$7)*(1/24)*($B$11)</f>
        <v>#VALUE!</v>
      </c>
      <c r="G35" s="36" t="e">
        <f>(1/E36)+(1/F36)</f>
        <v>#VALUE!</v>
      </c>
      <c r="H35" s="107"/>
      <c r="I35" s="107"/>
      <c r="J35" s="107"/>
      <c r="L35" s="189"/>
      <c r="M35" s="100"/>
      <c r="N35" s="107"/>
      <c r="O35" s="107"/>
      <c r="P35" s="190"/>
    </row>
    <row r="36" spans="1:16" ht="15.75" thickBot="1" x14ac:dyDescent="0.3">
      <c r="A36" s="202" t="s">
        <v>25</v>
      </c>
      <c r="B36" s="37" t="e">
        <f>B34/B35</f>
        <v>#VALUE!</v>
      </c>
      <c r="C36" s="37" t="e">
        <f t="shared" ref="C36:G36" si="14">C34/C35</f>
        <v>#VALUE!</v>
      </c>
      <c r="D36" s="38" t="e">
        <f t="shared" si="14"/>
        <v>#VALUE!</v>
      </c>
      <c r="E36" s="39" t="e">
        <f t="shared" si="14"/>
        <v>#VALUE!</v>
      </c>
      <c r="F36" s="37" t="e">
        <f t="shared" si="14"/>
        <v>#VALUE!</v>
      </c>
      <c r="G36" s="40" t="e">
        <f t="shared" si="14"/>
        <v>#VALUE!</v>
      </c>
      <c r="H36" s="107"/>
      <c r="I36" s="107"/>
      <c r="J36" s="107"/>
      <c r="L36" s="189"/>
      <c r="M36" s="100"/>
      <c r="N36" s="107"/>
      <c r="O36" s="107"/>
      <c r="P36" s="190"/>
    </row>
    <row r="37" spans="1:16" ht="15.75" thickBot="1" x14ac:dyDescent="0.3">
      <c r="D37" s="185"/>
      <c r="E37" s="107"/>
      <c r="F37" s="107"/>
      <c r="G37" s="183"/>
      <c r="H37" s="107"/>
      <c r="I37" s="107"/>
      <c r="J37" s="183"/>
      <c r="L37" s="189"/>
      <c r="M37" s="100"/>
      <c r="N37" s="107"/>
      <c r="O37" s="107"/>
      <c r="P37" s="190"/>
    </row>
    <row r="38" spans="1:16" x14ac:dyDescent="0.25">
      <c r="A38" s="195" t="s">
        <v>35</v>
      </c>
      <c r="B38" s="196"/>
      <c r="C38" s="196"/>
      <c r="D38" s="196"/>
      <c r="E38" s="197"/>
      <c r="F38" s="107"/>
      <c r="G38" s="107"/>
      <c r="H38" s="107"/>
      <c r="I38" s="107"/>
      <c r="J38" s="107"/>
      <c r="L38" s="189"/>
      <c r="M38" s="100"/>
      <c r="N38" s="107"/>
      <c r="O38" s="107"/>
      <c r="P38" s="190"/>
    </row>
    <row r="39" spans="1:16" ht="15.75" thickBot="1" x14ac:dyDescent="0.3">
      <c r="A39" s="27"/>
      <c r="B39" s="19"/>
      <c r="C39" s="11" t="s">
        <v>30</v>
      </c>
      <c r="D39" s="11" t="s">
        <v>31</v>
      </c>
      <c r="E39" s="28" t="s">
        <v>32</v>
      </c>
      <c r="F39" s="107"/>
      <c r="G39" s="107"/>
      <c r="H39" s="107"/>
      <c r="I39" s="107"/>
      <c r="J39" s="107"/>
      <c r="L39" s="189"/>
      <c r="M39" s="100"/>
      <c r="N39" s="107"/>
      <c r="O39" s="107"/>
      <c r="P39" s="190"/>
    </row>
    <row r="40" spans="1:16" x14ac:dyDescent="0.25">
      <c r="A40" s="203" t="s">
        <v>22</v>
      </c>
      <c r="B40" s="20" t="s">
        <v>27</v>
      </c>
      <c r="C40" s="21">
        <v>2.41E-4</v>
      </c>
      <c r="D40" s="21">
        <v>2.4000000000000001E-4</v>
      </c>
      <c r="E40" s="43">
        <f>(C40-D40)/((1/2)*(C40+D40))</f>
        <v>4.1580041580041461E-3</v>
      </c>
      <c r="F40" s="107"/>
      <c r="G40" s="183"/>
      <c r="H40" s="107"/>
      <c r="I40" s="107"/>
      <c r="J40" s="183"/>
      <c r="L40" s="189"/>
      <c r="M40" s="100"/>
      <c r="N40" s="107"/>
      <c r="O40" s="107"/>
      <c r="P40" s="190"/>
    </row>
    <row r="41" spans="1:16" x14ac:dyDescent="0.25">
      <c r="A41" s="204"/>
      <c r="B41" s="1" t="s">
        <v>28</v>
      </c>
      <c r="C41" s="4">
        <v>3420</v>
      </c>
      <c r="D41" s="4">
        <v>3420</v>
      </c>
      <c r="E41" s="44">
        <f t="shared" ref="E41:E52" si="15">(C41-D41)/((1/2)*(C41+D41))</f>
        <v>0</v>
      </c>
      <c r="F41" s="181"/>
      <c r="G41" s="181"/>
      <c r="H41" s="181"/>
      <c r="I41" s="181"/>
      <c r="J41" s="181"/>
      <c r="L41" s="189"/>
      <c r="M41" s="100"/>
      <c r="N41" s="107"/>
      <c r="O41" s="107"/>
      <c r="P41" s="190"/>
    </row>
    <row r="42" spans="1:16" x14ac:dyDescent="0.25">
      <c r="A42" s="204"/>
      <c r="B42" s="1" t="s">
        <v>29</v>
      </c>
      <c r="C42" s="4">
        <v>2.41E-4</v>
      </c>
      <c r="D42" s="4">
        <v>2.4000000000000001E-4</v>
      </c>
      <c r="E42" s="44">
        <f t="shared" si="15"/>
        <v>4.1580041580041461E-3</v>
      </c>
      <c r="L42" s="189"/>
      <c r="M42" s="100"/>
      <c r="N42" s="107"/>
      <c r="O42" s="107"/>
      <c r="P42" s="190"/>
    </row>
    <row r="43" spans="1:16" x14ac:dyDescent="0.25">
      <c r="A43" s="204"/>
      <c r="B43" s="1" t="s">
        <v>27</v>
      </c>
      <c r="C43" s="4">
        <v>2.3599999999999999E-4</v>
      </c>
      <c r="D43" s="4">
        <v>2.3599999999999999E-4</v>
      </c>
      <c r="E43" s="44">
        <f t="shared" si="15"/>
        <v>0</v>
      </c>
      <c r="L43" s="189"/>
      <c r="M43" s="100"/>
      <c r="N43" s="107"/>
      <c r="O43" s="107"/>
      <c r="P43" s="190"/>
    </row>
    <row r="44" spans="1:16" x14ac:dyDescent="0.25">
      <c r="A44" s="204"/>
      <c r="B44" s="1" t="s">
        <v>28</v>
      </c>
      <c r="C44" s="4">
        <v>3350</v>
      </c>
      <c r="D44" s="4">
        <v>3350</v>
      </c>
      <c r="E44" s="44">
        <f t="shared" si="15"/>
        <v>0</v>
      </c>
      <c r="L44" s="189"/>
      <c r="M44" s="100"/>
      <c r="N44" s="107"/>
      <c r="O44" s="107"/>
      <c r="P44" s="190"/>
    </row>
    <row r="45" spans="1:16" ht="15.75" thickBot="1" x14ac:dyDescent="0.3">
      <c r="A45" s="205"/>
      <c r="B45" s="24" t="s">
        <v>29</v>
      </c>
      <c r="C45" s="25">
        <v>2.3599999999999999E-4</v>
      </c>
      <c r="D45" s="25">
        <v>2.3599999999999999E-4</v>
      </c>
      <c r="E45" s="45">
        <f t="shared" si="15"/>
        <v>0</v>
      </c>
      <c r="L45" s="189"/>
      <c r="M45" s="100"/>
      <c r="N45" s="107"/>
      <c r="O45" s="107"/>
      <c r="P45" s="190"/>
    </row>
    <row r="46" spans="1:16" x14ac:dyDescent="0.25">
      <c r="A46" s="206" t="s">
        <v>23</v>
      </c>
      <c r="B46" s="20" t="s">
        <v>27</v>
      </c>
      <c r="C46" s="21">
        <v>0.30099999999999999</v>
      </c>
      <c r="D46" s="21">
        <v>0.30199999999999999</v>
      </c>
      <c r="E46" s="43">
        <f t="shared" si="15"/>
        <v>-3.3167495854063049E-3</v>
      </c>
      <c r="L46" s="189"/>
      <c r="M46" s="100"/>
      <c r="N46" s="107"/>
      <c r="O46" s="107"/>
      <c r="P46" s="190"/>
    </row>
    <row r="47" spans="1:16" x14ac:dyDescent="0.25">
      <c r="A47" s="207"/>
      <c r="B47" s="1" t="s">
        <v>28</v>
      </c>
      <c r="C47" s="4">
        <v>58.8</v>
      </c>
      <c r="D47" s="4">
        <v>59.1</v>
      </c>
      <c r="E47" s="44">
        <f t="shared" si="15"/>
        <v>-5.0890585241731004E-3</v>
      </c>
      <c r="L47" s="189"/>
      <c r="M47" s="100"/>
      <c r="N47" s="107"/>
      <c r="O47" s="107"/>
      <c r="P47" s="190"/>
    </row>
    <row r="48" spans="1:16" x14ac:dyDescent="0.25">
      <c r="A48" s="207"/>
      <c r="B48" s="1" t="s">
        <v>29</v>
      </c>
      <c r="C48" s="4">
        <v>0.29899999999999999</v>
      </c>
      <c r="D48" s="4">
        <v>0.3</v>
      </c>
      <c r="E48" s="44">
        <f t="shared" si="15"/>
        <v>-3.3388981636060132E-3</v>
      </c>
      <c r="L48" s="189"/>
      <c r="M48" s="100"/>
      <c r="N48" s="107"/>
      <c r="O48" s="107"/>
      <c r="P48" s="190"/>
    </row>
    <row r="49" spans="1:26" x14ac:dyDescent="0.25">
      <c r="A49" s="207"/>
      <c r="B49" s="1" t="s">
        <v>27</v>
      </c>
      <c r="C49" s="4">
        <v>8.7999999999999995E-2</v>
      </c>
      <c r="D49" s="4">
        <v>8.8300000000000003E-2</v>
      </c>
      <c r="E49" s="44">
        <f t="shared" si="15"/>
        <v>-3.4032898468520541E-3</v>
      </c>
      <c r="L49" s="189"/>
      <c r="M49" s="100"/>
      <c r="N49" s="107"/>
      <c r="O49" s="107"/>
      <c r="P49" s="190"/>
    </row>
    <row r="50" spans="1:26" x14ac:dyDescent="0.25">
      <c r="A50" s="207"/>
      <c r="B50" s="1" t="s">
        <v>28</v>
      </c>
      <c r="C50" s="4">
        <v>17.2</v>
      </c>
      <c r="D50" s="4">
        <v>17.3</v>
      </c>
      <c r="E50" s="44">
        <f t="shared" si="15"/>
        <v>-5.7971014492754448E-3</v>
      </c>
      <c r="L50" s="189"/>
      <c r="M50" s="100"/>
      <c r="N50" s="107"/>
      <c r="O50" s="107"/>
      <c r="P50" s="190"/>
    </row>
    <row r="51" spans="1:26" ht="15.75" thickBot="1" x14ac:dyDescent="0.3">
      <c r="A51" s="208"/>
      <c r="B51" s="24" t="s">
        <v>29</v>
      </c>
      <c r="C51" s="25">
        <v>8.7599999999999997E-2</v>
      </c>
      <c r="D51" s="25">
        <v>8.7900000000000006E-2</v>
      </c>
      <c r="E51" s="45">
        <f t="shared" si="15"/>
        <v>-3.4188034188035168E-3</v>
      </c>
      <c r="L51" s="189"/>
      <c r="M51" s="100"/>
      <c r="N51" s="107"/>
      <c r="O51" s="107"/>
      <c r="P51" s="190"/>
    </row>
    <row r="52" spans="1:26" x14ac:dyDescent="0.25">
      <c r="A52" s="206" t="s">
        <v>24</v>
      </c>
      <c r="B52" s="20" t="s">
        <v>27</v>
      </c>
      <c r="C52" s="21">
        <v>19.600000000000001</v>
      </c>
      <c r="D52" s="21">
        <v>19.5</v>
      </c>
      <c r="E52" s="43">
        <f t="shared" si="15"/>
        <v>5.1150895140665686E-3</v>
      </c>
    </row>
    <row r="53" spans="1:26" x14ac:dyDescent="0.25">
      <c r="A53" s="207"/>
      <c r="B53" s="1" t="s">
        <v>28</v>
      </c>
      <c r="C53" s="46"/>
      <c r="D53" s="46"/>
      <c r="E53" s="47"/>
      <c r="T53" s="184"/>
      <c r="U53" s="184"/>
      <c r="V53" s="184"/>
      <c r="W53" s="184"/>
      <c r="X53" s="184"/>
      <c r="Y53" s="184"/>
      <c r="Z53" s="184"/>
    </row>
    <row r="54" spans="1:26" x14ac:dyDescent="0.25">
      <c r="A54" s="207"/>
      <c r="B54" s="1" t="s">
        <v>29</v>
      </c>
      <c r="C54" s="4">
        <v>19.600000000000001</v>
      </c>
      <c r="D54" s="4">
        <v>19.5</v>
      </c>
      <c r="E54" s="44">
        <f t="shared" ref="E54:E55" si="16">(C54-D54)/((1/2)*(C54+D54))</f>
        <v>5.1150895140665686E-3</v>
      </c>
      <c r="T54" s="181"/>
      <c r="U54" s="184"/>
      <c r="V54" s="184"/>
      <c r="W54" s="184"/>
      <c r="X54" s="184"/>
      <c r="Y54" s="184"/>
      <c r="Z54" s="184"/>
    </row>
    <row r="55" spans="1:26" x14ac:dyDescent="0.25">
      <c r="A55" s="207"/>
      <c r="B55" s="1" t="s">
        <v>27</v>
      </c>
      <c r="C55" s="4">
        <v>10.5</v>
      </c>
      <c r="D55" s="4">
        <v>10.5</v>
      </c>
      <c r="E55" s="44">
        <f t="shared" si="16"/>
        <v>0</v>
      </c>
      <c r="T55" s="181"/>
      <c r="U55" s="182"/>
      <c r="V55" s="182"/>
      <c r="W55" s="182"/>
      <c r="X55" s="182"/>
      <c r="Y55" s="182"/>
      <c r="Z55" s="182"/>
    </row>
    <row r="56" spans="1:26" x14ac:dyDescent="0.25">
      <c r="A56" s="207"/>
      <c r="B56" s="1" t="s">
        <v>28</v>
      </c>
      <c r="C56" s="46"/>
      <c r="D56" s="46"/>
      <c r="E56" s="47"/>
      <c r="T56" s="185"/>
      <c r="U56" s="107"/>
      <c r="V56" s="107"/>
      <c r="W56" s="107"/>
      <c r="X56" s="107"/>
      <c r="Y56" s="107"/>
      <c r="Z56" s="107"/>
    </row>
    <row r="57" spans="1:26" ht="15.75" thickBot="1" x14ac:dyDescent="0.3">
      <c r="A57" s="208"/>
      <c r="B57" s="24" t="s">
        <v>29</v>
      </c>
      <c r="C57" s="25">
        <v>10.5</v>
      </c>
      <c r="D57" s="25">
        <v>10.5</v>
      </c>
      <c r="E57" s="45">
        <f t="shared" ref="E57:E63" si="17">(C57-D57)/((1/2)*(C57+D57))</f>
        <v>0</v>
      </c>
      <c r="T57" s="185"/>
      <c r="U57" s="107"/>
      <c r="V57" s="107"/>
      <c r="W57" s="107"/>
      <c r="X57" s="107"/>
      <c r="Y57" s="107"/>
      <c r="Z57" s="107"/>
    </row>
    <row r="58" spans="1:26" x14ac:dyDescent="0.25">
      <c r="A58" s="206" t="s">
        <v>25</v>
      </c>
      <c r="B58" s="20" t="s">
        <v>27</v>
      </c>
      <c r="C58" s="21">
        <v>1.8799999999999999E-4</v>
      </c>
      <c r="D58" s="21">
        <v>1.8799999999999999E-4</v>
      </c>
      <c r="E58" s="43">
        <f t="shared" si="17"/>
        <v>0</v>
      </c>
      <c r="T58" s="185"/>
      <c r="U58" s="107"/>
      <c r="V58" s="107"/>
      <c r="W58" s="183"/>
      <c r="X58" s="107"/>
      <c r="Y58" s="107"/>
      <c r="Z58" s="183"/>
    </row>
    <row r="59" spans="1:26" x14ac:dyDescent="0.25">
      <c r="A59" s="207"/>
      <c r="B59" s="1" t="s">
        <v>28</v>
      </c>
      <c r="C59" s="4">
        <v>838000</v>
      </c>
      <c r="D59" s="4">
        <v>839000</v>
      </c>
      <c r="E59" s="44">
        <f t="shared" si="17"/>
        <v>-1.1926058437686344E-3</v>
      </c>
      <c r="T59" s="185"/>
      <c r="U59" s="107"/>
      <c r="V59" s="107"/>
      <c r="W59" s="107"/>
      <c r="X59" s="107"/>
      <c r="Y59" s="107"/>
      <c r="Z59" s="107"/>
    </row>
    <row r="60" spans="1:26" x14ac:dyDescent="0.25">
      <c r="A60" s="207"/>
      <c r="B60" s="1" t="s">
        <v>29</v>
      </c>
      <c r="C60" s="4">
        <v>1.8799999999999999E-4</v>
      </c>
      <c r="D60" s="4">
        <v>1.8799999999999999E-4</v>
      </c>
      <c r="E60" s="44">
        <f t="shared" si="17"/>
        <v>0</v>
      </c>
      <c r="T60" s="185"/>
      <c r="U60" s="107"/>
      <c r="V60" s="107"/>
      <c r="W60" s="107"/>
      <c r="X60" s="107"/>
      <c r="Y60" s="107"/>
      <c r="Z60" s="107"/>
    </row>
    <row r="61" spans="1:26" x14ac:dyDescent="0.25">
      <c r="A61" s="207"/>
      <c r="B61" s="1" t="s">
        <v>27</v>
      </c>
      <c r="C61" s="4">
        <v>1.7000000000000001E-4</v>
      </c>
      <c r="D61" s="4">
        <v>1.7000000000000001E-4</v>
      </c>
      <c r="E61" s="44">
        <f t="shared" si="17"/>
        <v>0</v>
      </c>
      <c r="T61" s="185"/>
      <c r="U61" s="107"/>
      <c r="V61" s="107"/>
      <c r="W61" s="183"/>
      <c r="X61" s="107"/>
      <c r="Y61" s="107"/>
      <c r="Z61" s="183"/>
    </row>
    <row r="62" spans="1:26" x14ac:dyDescent="0.25">
      <c r="A62" s="207"/>
      <c r="B62" s="1" t="s">
        <v>28</v>
      </c>
      <c r="C62" s="4">
        <v>760000</v>
      </c>
      <c r="D62" s="4">
        <v>761000</v>
      </c>
      <c r="E62" s="44">
        <f t="shared" si="17"/>
        <v>-1.3149243918474688E-3</v>
      </c>
      <c r="T62" s="185"/>
      <c r="U62" s="107"/>
      <c r="V62" s="107"/>
      <c r="W62" s="107"/>
      <c r="X62" s="107"/>
      <c r="Y62" s="107"/>
      <c r="Z62" s="107"/>
    </row>
    <row r="63" spans="1:26" ht="15.75" thickBot="1" x14ac:dyDescent="0.3">
      <c r="A63" s="208"/>
      <c r="B63" s="24" t="s">
        <v>29</v>
      </c>
      <c r="C63" s="25">
        <v>1.7000000000000001E-4</v>
      </c>
      <c r="D63" s="25">
        <v>1.7000000000000001E-4</v>
      </c>
      <c r="E63" s="45">
        <f t="shared" si="17"/>
        <v>0</v>
      </c>
      <c r="T63" s="185"/>
      <c r="U63" s="107"/>
      <c r="V63" s="107"/>
      <c r="W63" s="107"/>
      <c r="X63" s="107"/>
      <c r="Y63" s="107"/>
      <c r="Z63" s="107"/>
    </row>
    <row r="64" spans="1:26" x14ac:dyDescent="0.25">
      <c r="T64" s="185"/>
      <c r="U64" s="107"/>
      <c r="V64" s="107"/>
      <c r="W64" s="183"/>
      <c r="X64" s="107"/>
      <c r="Y64" s="107"/>
      <c r="Z64" s="183"/>
    </row>
    <row r="65" spans="20:26" x14ac:dyDescent="0.25">
      <c r="T65" s="185"/>
      <c r="U65" s="107"/>
      <c r="V65" s="107"/>
      <c r="W65" s="107"/>
      <c r="X65" s="107"/>
      <c r="Y65" s="107"/>
      <c r="Z65" s="107"/>
    </row>
    <row r="66" spans="20:26" x14ac:dyDescent="0.25">
      <c r="T66" s="185"/>
      <c r="U66" s="107"/>
      <c r="V66" s="107"/>
      <c r="W66" s="107"/>
      <c r="X66" s="107"/>
      <c r="Y66" s="107"/>
      <c r="Z66" s="107"/>
    </row>
    <row r="67" spans="20:26" x14ac:dyDescent="0.25">
      <c r="T67" s="185"/>
      <c r="U67" s="107"/>
      <c r="V67" s="107"/>
      <c r="W67" s="183"/>
      <c r="X67" s="107"/>
      <c r="Y67" s="107"/>
      <c r="Z67" s="183"/>
    </row>
  </sheetData>
  <mergeCells count="22">
    <mergeCell ref="J7:N7"/>
    <mergeCell ref="J9:J12"/>
    <mergeCell ref="D9:D11"/>
    <mergeCell ref="D12:D14"/>
    <mergeCell ref="D15:D17"/>
    <mergeCell ref="D7:H7"/>
    <mergeCell ref="A52:A57"/>
    <mergeCell ref="A58:A63"/>
    <mergeCell ref="J13:J16"/>
    <mergeCell ref="J17:J20"/>
    <mergeCell ref="J21:J24"/>
    <mergeCell ref="D18:D20"/>
    <mergeCell ref="A31:A33"/>
    <mergeCell ref="A34:A36"/>
    <mergeCell ref="A38:E38"/>
    <mergeCell ref="A40:A45"/>
    <mergeCell ref="A46:A51"/>
    <mergeCell ref="A22:G22"/>
    <mergeCell ref="B23:D23"/>
    <mergeCell ref="E23:G23"/>
    <mergeCell ref="A25:A27"/>
    <mergeCell ref="A28:A30"/>
  </mergeCells>
  <conditionalFormatting sqref="N9:N24">
    <cfRule type="cellIs" dxfId="17" priority="5" operator="lessThan">
      <formula>-0.01</formula>
    </cfRule>
    <cfRule type="cellIs" dxfId="16" priority="6" operator="notEqual">
      <formula>0</formula>
    </cfRule>
  </conditionalFormatting>
  <conditionalFormatting sqref="P28:P51">
    <cfRule type="cellIs" dxfId="15" priority="3" operator="lessThan">
      <formula>-0.01</formula>
    </cfRule>
    <cfRule type="cellIs" dxfId="14" priority="4" operator="notEqual">
      <formula>0</formula>
    </cfRule>
  </conditionalFormatting>
  <conditionalFormatting sqref="E40:E63">
    <cfRule type="cellIs" dxfId="13" priority="1" operator="lessThan">
      <formula>-0.01</formula>
    </cfRule>
    <cfRule type="cellIs" dxfId="12" priority="2" operator="notEqual">
      <formula>0</formula>
    </cfRule>
  </conditionalFormatting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zoomScale="40" zoomScaleNormal="40" workbookViewId="0">
      <selection activeCell="AE51" sqref="AE51"/>
    </sheetView>
  </sheetViews>
  <sheetFormatPr defaultRowHeight="15" x14ac:dyDescent="0.25"/>
  <cols>
    <col min="1" max="1" width="8.5703125" bestFit="1" customWidth="1"/>
    <col min="2" max="2" width="7.85546875" bestFit="1" customWidth="1"/>
    <col min="3" max="3" width="7" bestFit="1" customWidth="1"/>
    <col min="4" max="4" width="11.7109375" bestFit="1" customWidth="1"/>
    <col min="5" max="5" width="10.7109375" bestFit="1" customWidth="1"/>
    <col min="6" max="6" width="11.42578125" bestFit="1" customWidth="1"/>
    <col min="7" max="7" width="11.5703125" bestFit="1" customWidth="1"/>
    <col min="8" max="9" width="9.7109375" bestFit="1" customWidth="1"/>
    <col min="10" max="10" width="10.5703125" bestFit="1" customWidth="1"/>
    <col min="11" max="11" width="11.7109375" bestFit="1" customWidth="1"/>
    <col min="12" max="13" width="10.7109375" bestFit="1" customWidth="1"/>
    <col min="14" max="14" width="11.5703125" bestFit="1" customWidth="1"/>
    <col min="15" max="15" width="9.5703125" bestFit="1" customWidth="1"/>
    <col min="17" max="17" width="7" bestFit="1" customWidth="1"/>
    <col min="18" max="18" width="11.7109375" bestFit="1" customWidth="1"/>
    <col min="19" max="20" width="10.7109375" bestFit="1" customWidth="1"/>
    <col min="21" max="21" width="11.5703125" bestFit="1" customWidth="1"/>
    <col min="22" max="22" width="9.5703125" bestFit="1" customWidth="1"/>
  </cols>
  <sheetData>
    <row r="1" spans="1:22" x14ac:dyDescent="0.25">
      <c r="A1" s="66" t="s">
        <v>0</v>
      </c>
      <c r="B1" s="67" t="s">
        <v>1</v>
      </c>
      <c r="C1" s="148"/>
      <c r="D1" s="180" t="s">
        <v>70</v>
      </c>
      <c r="E1" s="68" t="s">
        <v>21</v>
      </c>
      <c r="F1" s="68" t="s">
        <v>4</v>
      </c>
      <c r="G1" s="68" t="s">
        <v>51</v>
      </c>
      <c r="H1" s="68" t="s">
        <v>39</v>
      </c>
      <c r="I1" s="68" t="s">
        <v>52</v>
      </c>
      <c r="J1" s="68" t="s">
        <v>53</v>
      </c>
      <c r="K1" s="68" t="s">
        <v>54</v>
      </c>
      <c r="L1" s="68" t="s">
        <v>55</v>
      </c>
      <c r="M1" s="69" t="s">
        <v>56</v>
      </c>
    </row>
    <row r="2" spans="1:22" x14ac:dyDescent="0.25">
      <c r="A2" s="70" t="s">
        <v>2</v>
      </c>
      <c r="B2" s="71">
        <v>9.9999999999999995E-7</v>
      </c>
      <c r="C2" s="149" t="s">
        <v>22</v>
      </c>
      <c r="D2" s="149" t="s">
        <v>77</v>
      </c>
      <c r="E2" s="73">
        <v>432</v>
      </c>
      <c r="F2" s="73">
        <f>0.693/E2</f>
        <v>1.6041666666666665E-3</v>
      </c>
      <c r="G2" s="73">
        <f>(1-EXP(-(F2)*$B$3))</f>
        <v>3.9310637868486542E-2</v>
      </c>
      <c r="H2" s="73">
        <f>'Isotope Specific Factors'!D3</f>
        <v>2.77E-8</v>
      </c>
      <c r="I2" s="73">
        <f>'Isotope Specific Factors'!E3</f>
        <v>1.3799999999999999E-8</v>
      </c>
      <c r="J2" s="73">
        <f>'Isotope Specific Factors'!F3</f>
        <v>2.5799999999999999E-8</v>
      </c>
      <c r="K2" s="73">
        <f>'Isotope Specific Factors'!G3</f>
        <v>2.77E-8</v>
      </c>
      <c r="L2" s="73">
        <f>'Isotope Specific Factors'!C3</f>
        <v>1.8699999999999999E-8</v>
      </c>
      <c r="M2" s="74">
        <v>0.4</v>
      </c>
    </row>
    <row r="3" spans="1:22" x14ac:dyDescent="0.25">
      <c r="A3" s="70" t="s">
        <v>3</v>
      </c>
      <c r="B3" s="75">
        <v>25</v>
      </c>
      <c r="C3" s="149" t="s">
        <v>23</v>
      </c>
      <c r="D3" s="149" t="s">
        <v>77</v>
      </c>
      <c r="E3" s="73">
        <v>5.27</v>
      </c>
      <c r="F3" s="73">
        <f t="shared" ref="F3:F5" si="0">0.693/E3</f>
        <v>0.13149905123339659</v>
      </c>
      <c r="G3" s="73">
        <f t="shared" ref="G3:G5" si="1">(1-EXP(-(F3)*$B$3))</f>
        <v>0.9626520136123895</v>
      </c>
      <c r="H3" s="73">
        <f>'Isotope Specific Factors'!D4</f>
        <v>1.24E-5</v>
      </c>
      <c r="I3" s="73">
        <f>'Isotope Specific Factors'!E4</f>
        <v>2.26E-6</v>
      </c>
      <c r="J3" s="73">
        <f>'Isotope Specific Factors'!F4</f>
        <v>6.4899999999999997E-6</v>
      </c>
      <c r="K3" s="73">
        <f>'Isotope Specific Factors'!G4</f>
        <v>1.04E-5</v>
      </c>
      <c r="L3" s="73">
        <f>'Isotope Specific Factors'!C4</f>
        <v>2.1900000000000002E-6</v>
      </c>
      <c r="M3" s="74">
        <v>0.4</v>
      </c>
    </row>
    <row r="4" spans="1:22" x14ac:dyDescent="0.25">
      <c r="A4" s="152" t="s">
        <v>5</v>
      </c>
      <c r="B4" s="75">
        <v>250</v>
      </c>
      <c r="C4" s="149" t="s">
        <v>24</v>
      </c>
      <c r="D4" s="149" t="s">
        <v>77</v>
      </c>
      <c r="E4" s="73">
        <v>12.3</v>
      </c>
      <c r="F4" s="73">
        <f t="shared" si="0"/>
        <v>5.6341463414634141E-2</v>
      </c>
      <c r="G4" s="73">
        <f t="shared" si="1"/>
        <v>0.75549917243911779</v>
      </c>
      <c r="H4" s="73">
        <f>'Isotope Specific Factors'!D6</f>
        <v>0</v>
      </c>
      <c r="I4" s="73">
        <f>'Isotope Specific Factors'!E6</f>
        <v>0</v>
      </c>
      <c r="J4" s="73">
        <f>'Isotope Specific Factors'!F6</f>
        <v>0</v>
      </c>
      <c r="K4" s="73">
        <f>'Isotope Specific Factors'!G6</f>
        <v>0</v>
      </c>
      <c r="L4" s="73">
        <f>'Isotope Specific Factors'!C6</f>
        <v>0</v>
      </c>
      <c r="M4" s="74">
        <v>0.4</v>
      </c>
    </row>
    <row r="5" spans="1:22" ht="15.75" thickBot="1" x14ac:dyDescent="0.3">
      <c r="A5" s="70" t="s">
        <v>6</v>
      </c>
      <c r="B5" s="75">
        <v>25</v>
      </c>
      <c r="C5" s="150" t="s">
        <v>25</v>
      </c>
      <c r="D5" s="150" t="s">
        <v>77</v>
      </c>
      <c r="E5" s="78">
        <v>87.7</v>
      </c>
      <c r="F5" s="78">
        <f t="shared" si="0"/>
        <v>7.9019384264538192E-3</v>
      </c>
      <c r="G5" s="78">
        <f t="shared" si="1"/>
        <v>0.17925963395695022</v>
      </c>
      <c r="H5" s="78">
        <f>'Isotope Specific Factors'!D7</f>
        <v>6.9200000000000004E-11</v>
      </c>
      <c r="I5" s="78">
        <f>'Isotope Specific Factors'!E7</f>
        <v>4.8100000000000001E-11</v>
      </c>
      <c r="J5" s="78">
        <f>'Isotope Specific Factors'!F7</f>
        <v>6.3000000000000002E-11</v>
      </c>
      <c r="K5" s="78">
        <f>'Isotope Specific Factors'!G7</f>
        <v>6.8700000000000006E-11</v>
      </c>
      <c r="L5" s="78">
        <f>'Isotope Specific Factors'!C7</f>
        <v>3.6800000000000002E-10</v>
      </c>
      <c r="M5" s="79">
        <v>0.4</v>
      </c>
    </row>
    <row r="6" spans="1:22" ht="15.75" thickBot="1" x14ac:dyDescent="0.3">
      <c r="A6" s="92" t="s">
        <v>8</v>
      </c>
      <c r="B6" s="151">
        <v>8</v>
      </c>
      <c r="C6" s="80"/>
      <c r="D6" s="81"/>
      <c r="E6" s="81"/>
      <c r="F6" s="81"/>
      <c r="G6" s="81"/>
      <c r="H6" s="82"/>
      <c r="I6" s="83"/>
    </row>
    <row r="7" spans="1:22" x14ac:dyDescent="0.25">
      <c r="C7" s="84"/>
      <c r="D7" s="85" t="s">
        <v>40</v>
      </c>
      <c r="E7" s="85" t="s">
        <v>57</v>
      </c>
      <c r="F7" s="85" t="s">
        <v>58</v>
      </c>
      <c r="G7" s="85" t="s">
        <v>59</v>
      </c>
      <c r="H7" s="86" t="s">
        <v>60</v>
      </c>
      <c r="I7" s="87"/>
      <c r="J7" s="84"/>
      <c r="K7" s="88" t="s">
        <v>40</v>
      </c>
      <c r="L7" s="88" t="s">
        <v>57</v>
      </c>
      <c r="M7" s="88" t="s">
        <v>58</v>
      </c>
      <c r="N7" s="88" t="s">
        <v>59</v>
      </c>
      <c r="O7" s="89" t="s">
        <v>60</v>
      </c>
      <c r="Q7" s="84"/>
      <c r="R7" s="90" t="s">
        <v>40</v>
      </c>
      <c r="S7" s="90" t="s">
        <v>57</v>
      </c>
      <c r="T7" s="90" t="s">
        <v>58</v>
      </c>
      <c r="U7" s="90" t="s">
        <v>59</v>
      </c>
      <c r="V7" s="91" t="s">
        <v>60</v>
      </c>
    </row>
    <row r="8" spans="1:22" x14ac:dyDescent="0.25">
      <c r="C8" s="72" t="s">
        <v>22</v>
      </c>
      <c r="D8" s="73">
        <v>0.108</v>
      </c>
      <c r="E8" s="73">
        <v>9.4600000000000004E-2</v>
      </c>
      <c r="F8" s="73">
        <v>9.5000000000000001E-2</v>
      </c>
      <c r="G8" s="73">
        <v>9.69E-2</v>
      </c>
      <c r="H8" s="74">
        <v>8.4400000000000003E-2</v>
      </c>
      <c r="I8" s="93"/>
      <c r="J8" s="72" t="s">
        <v>22</v>
      </c>
      <c r="K8" s="73">
        <v>0.19400000000000001</v>
      </c>
      <c r="L8" s="73">
        <v>0.16700000000000001</v>
      </c>
      <c r="M8" s="73">
        <v>0.16700000000000001</v>
      </c>
      <c r="N8" s="73">
        <v>0.16400000000000001</v>
      </c>
      <c r="O8" s="74">
        <v>0.15</v>
      </c>
      <c r="Q8" s="72" t="s">
        <v>22</v>
      </c>
      <c r="R8" s="73">
        <v>0.32</v>
      </c>
      <c r="S8" s="73">
        <v>0.29699999999999999</v>
      </c>
      <c r="T8" s="73">
        <v>0.28999999999999998</v>
      </c>
      <c r="U8" s="73">
        <v>0.28499999999999998</v>
      </c>
      <c r="V8" s="74">
        <v>0.27100000000000002</v>
      </c>
    </row>
    <row r="9" spans="1:22" x14ac:dyDescent="0.25">
      <c r="C9" s="72" t="s">
        <v>23</v>
      </c>
      <c r="D9" s="73">
        <v>9.8299999999999998E-2</v>
      </c>
      <c r="E9" s="73">
        <v>4.2599999999999999E-2</v>
      </c>
      <c r="F9" s="73">
        <v>6.5500000000000003E-2</v>
      </c>
      <c r="G9" s="73">
        <v>8.4900000000000003E-2</v>
      </c>
      <c r="H9" s="74">
        <v>2.8299999999999999E-2</v>
      </c>
      <c r="I9" s="93"/>
      <c r="J9" s="72" t="s">
        <v>23</v>
      </c>
      <c r="K9" s="73">
        <v>0.17699999999999999</v>
      </c>
      <c r="L9" s="73">
        <v>7.9799999999999996E-2</v>
      </c>
      <c r="M9" s="73">
        <v>0.122</v>
      </c>
      <c r="N9" s="73">
        <v>0.159</v>
      </c>
      <c r="O9" s="74">
        <v>5.21E-2</v>
      </c>
      <c r="Q9" s="72" t="s">
        <v>23</v>
      </c>
      <c r="R9" s="73">
        <v>0.33300000000000002</v>
      </c>
      <c r="S9" s="73">
        <v>0.14799999999999999</v>
      </c>
      <c r="T9" s="73">
        <v>0.222</v>
      </c>
      <c r="U9" s="73">
        <v>0.28799999999999998</v>
      </c>
      <c r="V9" s="74">
        <v>9.8599999999999993E-2</v>
      </c>
    </row>
    <row r="10" spans="1:22" x14ac:dyDescent="0.25">
      <c r="C10" s="72" t="s">
        <v>24</v>
      </c>
      <c r="D10" s="73">
        <v>0.9</v>
      </c>
      <c r="E10" s="73">
        <v>0.9</v>
      </c>
      <c r="F10" s="73">
        <v>0.9</v>
      </c>
      <c r="G10" s="73">
        <v>0.9</v>
      </c>
      <c r="H10" s="74">
        <v>0.9</v>
      </c>
      <c r="I10" s="93"/>
      <c r="J10" s="72" t="s">
        <v>24</v>
      </c>
      <c r="K10" s="73">
        <v>0.9</v>
      </c>
      <c r="L10" s="73">
        <v>0.9</v>
      </c>
      <c r="M10" s="73">
        <v>0.9</v>
      </c>
      <c r="N10" s="73">
        <v>0.9</v>
      </c>
      <c r="O10" s="74">
        <v>0.9</v>
      </c>
      <c r="Q10" s="72" t="s">
        <v>24</v>
      </c>
      <c r="R10" s="73">
        <v>0.9</v>
      </c>
      <c r="S10" s="73">
        <v>0.9</v>
      </c>
      <c r="T10" s="73">
        <v>0.9</v>
      </c>
      <c r="U10" s="73">
        <v>0.9</v>
      </c>
      <c r="V10" s="74">
        <v>0.9</v>
      </c>
    </row>
    <row r="11" spans="1:22" ht="15.75" thickBot="1" x14ac:dyDescent="0.3">
      <c r="C11" s="77" t="s">
        <v>25</v>
      </c>
      <c r="D11" s="78">
        <v>0.17899999999999999</v>
      </c>
      <c r="E11" s="78">
        <v>0.153</v>
      </c>
      <c r="F11" s="78">
        <v>0.16</v>
      </c>
      <c r="G11" s="78">
        <v>0.17100000000000001</v>
      </c>
      <c r="H11" s="79">
        <v>0.10299999999999999</v>
      </c>
      <c r="I11" s="93"/>
      <c r="J11" s="77" t="s">
        <v>25</v>
      </c>
      <c r="K11" s="78">
        <v>0.28399999999999997</v>
      </c>
      <c r="L11" s="78">
        <v>0.27</v>
      </c>
      <c r="M11" s="78">
        <v>0.28299999999999997</v>
      </c>
      <c r="N11" s="78">
        <v>0.28299999999999997</v>
      </c>
      <c r="O11" s="79">
        <v>0.184</v>
      </c>
      <c r="Q11" s="77" t="s">
        <v>25</v>
      </c>
      <c r="R11" s="78">
        <v>0.59199999999999997</v>
      </c>
      <c r="S11" s="78">
        <v>0.47199999999999998</v>
      </c>
      <c r="T11" s="78">
        <v>0.502</v>
      </c>
      <c r="U11" s="78">
        <v>0.51800000000000002</v>
      </c>
      <c r="V11" s="79">
        <v>0.33100000000000002</v>
      </c>
    </row>
    <row r="12" spans="1:22" ht="15.75" x14ac:dyDescent="0.25">
      <c r="C12" s="94"/>
      <c r="D12" s="221" t="s">
        <v>61</v>
      </c>
      <c r="E12" s="222"/>
      <c r="F12" s="222"/>
      <c r="G12" s="222"/>
      <c r="H12" s="223"/>
      <c r="I12" s="95"/>
      <c r="J12" s="96"/>
      <c r="K12" s="224" t="s">
        <v>62</v>
      </c>
      <c r="L12" s="225"/>
      <c r="M12" s="225"/>
      <c r="N12" s="225"/>
      <c r="O12" s="226"/>
      <c r="P12" s="97"/>
      <c r="Q12" s="96"/>
      <c r="R12" s="227" t="s">
        <v>63</v>
      </c>
      <c r="S12" s="228"/>
      <c r="T12" s="228"/>
      <c r="U12" s="228"/>
      <c r="V12" s="229"/>
    </row>
    <row r="13" spans="1:22" ht="15.75" thickBot="1" x14ac:dyDescent="0.3">
      <c r="C13" s="27"/>
      <c r="D13" s="98" t="s">
        <v>64</v>
      </c>
      <c r="E13" s="98" t="s">
        <v>65</v>
      </c>
      <c r="F13" s="98" t="s">
        <v>66</v>
      </c>
      <c r="G13" s="98" t="s">
        <v>67</v>
      </c>
      <c r="H13" s="99" t="s">
        <v>68</v>
      </c>
      <c r="I13" s="100"/>
      <c r="J13" s="27"/>
      <c r="K13" s="101" t="s">
        <v>64</v>
      </c>
      <c r="L13" s="101" t="s">
        <v>65</v>
      </c>
      <c r="M13" s="101" t="s">
        <v>66</v>
      </c>
      <c r="N13" s="101" t="s">
        <v>67</v>
      </c>
      <c r="O13" s="102" t="s">
        <v>68</v>
      </c>
      <c r="Q13" s="27"/>
      <c r="R13" s="103" t="s">
        <v>64</v>
      </c>
      <c r="S13" s="103" t="s">
        <v>65</v>
      </c>
      <c r="T13" s="103" t="s">
        <v>66</v>
      </c>
      <c r="U13" s="103" t="s">
        <v>67</v>
      </c>
      <c r="V13" s="104" t="s">
        <v>68</v>
      </c>
    </row>
    <row r="14" spans="1:22" x14ac:dyDescent="0.25">
      <c r="C14" s="218" t="s">
        <v>22</v>
      </c>
      <c r="D14" s="105">
        <f>$B$2*$B$3*$F$2</f>
        <v>4.0104166666666658E-8</v>
      </c>
      <c r="E14" s="105">
        <f>$B$2*$B$3*$F$2</f>
        <v>4.0104166666666658E-8</v>
      </c>
      <c r="F14" s="105">
        <f>$B$2*$B$3*$F$2</f>
        <v>4.0104166666666658E-8</v>
      </c>
      <c r="G14" s="105">
        <f>$B$2*$B$3*$F$2</f>
        <v>4.0104166666666658E-8</v>
      </c>
      <c r="H14" s="106">
        <f>$B$2*$B$3*$F$2</f>
        <v>4.0104166666666658E-8</v>
      </c>
      <c r="I14" s="107"/>
      <c r="J14" s="218" t="s">
        <v>22</v>
      </c>
      <c r="K14" s="105">
        <f>$B$2*$B$3*$F$2</f>
        <v>4.0104166666666658E-8</v>
      </c>
      <c r="L14" s="105">
        <f>$B$2*$B$3*$F$2</f>
        <v>4.0104166666666658E-8</v>
      </c>
      <c r="M14" s="105">
        <f>$B$2*$B$3*$F$2</f>
        <v>4.0104166666666658E-8</v>
      </c>
      <c r="N14" s="105">
        <f>$B$2*$B$3*$F$2</f>
        <v>4.0104166666666658E-8</v>
      </c>
      <c r="O14" s="108">
        <f>$B$2*$B$3*$F$2</f>
        <v>4.0104166666666658E-8</v>
      </c>
      <c r="Q14" s="218" t="s">
        <v>22</v>
      </c>
      <c r="R14" s="105">
        <f>$B$2*$B$3*$F$2</f>
        <v>4.0104166666666658E-8</v>
      </c>
      <c r="S14" s="105">
        <f>$B$2*$B$3*$F$2</f>
        <v>4.0104166666666658E-8</v>
      </c>
      <c r="T14" s="105">
        <f>$B$2*$B$3*$F$2</f>
        <v>4.0104166666666658E-8</v>
      </c>
      <c r="U14" s="105">
        <f>$B$2*$B$3*$F$2</f>
        <v>4.0104166666666658E-8</v>
      </c>
      <c r="V14" s="108">
        <f>$B$2*$B$3*$F$2</f>
        <v>4.0104166666666658E-8</v>
      </c>
    </row>
    <row r="15" spans="1:22" x14ac:dyDescent="0.25">
      <c r="C15" s="219"/>
      <c r="D15" s="73">
        <f>$G$2*H$2*$B$4*(1/365)*$B$5*$B$6*(1/24)*$M$2*D$8</f>
        <v>2.6849704166064919E-10</v>
      </c>
      <c r="E15" s="73">
        <f>$G$2*I$2*$B$4*(1/365)*$B$5*$B$6*(1/24)*$M$2*E$8</f>
        <v>1.1716724092363427E-10</v>
      </c>
      <c r="F15" s="73">
        <f>$G$2*J$2*$B$4*(1/365)*$B$5*$B$6*(1/24)*$M$2*F$8</f>
        <v>2.1997802149694182E-10</v>
      </c>
      <c r="G15" s="73">
        <f>$G$2*K$2*$B$4*(1/365)*$B$5*$B$6*(1/24)*$M$2*G$8</f>
        <v>2.4090151237886026E-10</v>
      </c>
      <c r="H15" s="74">
        <f>$G$2*L$2*$B$4*(1/365)*$B$5*$B$6*(1/24)*$M$2*H$8</f>
        <v>1.4165112679240854E-10</v>
      </c>
      <c r="I15" s="107"/>
      <c r="J15" s="219"/>
      <c r="K15" s="73">
        <f>$G$2*H$2*$B$4*(1/365)*$B$5*$B$6*(1/24)*$M$2*K$8</f>
        <v>4.8230024150153652E-10</v>
      </c>
      <c r="L15" s="73">
        <f>$G$2*I$2*$B$4*(1/365)*$B$5*$B$6*(1/24)*$M$2*L$8</f>
        <v>2.0683857541487235E-10</v>
      </c>
      <c r="M15" s="73">
        <f>$G$2*J$2*$B$4*(1/365)*$B$5*$B$6*(1/24)*$M$2*M$8</f>
        <v>3.8669820621041353E-10</v>
      </c>
      <c r="N15" s="73">
        <f>$G$2*K$2*$B$4*(1/365)*$B$5*$B$6*(1/24)*$M$2*N$8</f>
        <v>4.0771772992913397E-10</v>
      </c>
      <c r="O15" s="109">
        <f>$G$2*L$2*$B$4*(1/365)*$B$5*$B$6*(1/24)*$M$2*O$8</f>
        <v>2.5174963292489668E-10</v>
      </c>
      <c r="Q15" s="219"/>
      <c r="R15" s="73">
        <f>$G$2*H$2*$B$4*(1/365)*$B$5*$B$6*(1/24)*$M$2*R$8</f>
        <v>7.9554679010562732E-10</v>
      </c>
      <c r="S15" s="73">
        <f>$G$2*I$2*$B$4*(1/365)*$B$5*$B$6*(1/24)*$M$2*S$8</f>
        <v>3.6785064010908432E-10</v>
      </c>
      <c r="T15" s="73">
        <f>$G$2*J$2*$B$4*(1/365)*$B$5*$B$6*(1/24)*$M$2*T$8</f>
        <v>6.715118550959276E-10</v>
      </c>
      <c r="U15" s="73">
        <f>$G$2*K$2*$B$4*(1/365)*$B$5*$B$6*(1/24)*$M$2*U$8</f>
        <v>7.0853385993782421E-10</v>
      </c>
      <c r="V15" s="109">
        <f>$G$2*L$2*$B$4*(1/365)*$B$5*$B$6*(1/24)*$M$2*V$8</f>
        <v>4.5482767015098004E-10</v>
      </c>
    </row>
    <row r="16" spans="1:22" ht="15.75" thickBot="1" x14ac:dyDescent="0.3">
      <c r="C16" s="220"/>
      <c r="D16" s="110">
        <f>D14/D15</f>
        <v>149.36539493553872</v>
      </c>
      <c r="E16" s="110">
        <f t="shared" ref="E16:H16" si="2">E14/E15</f>
        <v>342.28139495753106</v>
      </c>
      <c r="F16" s="110">
        <f t="shared" si="2"/>
        <v>182.30987984053758</v>
      </c>
      <c r="G16" s="110">
        <f t="shared" si="2"/>
        <v>166.47536277645182</v>
      </c>
      <c r="H16" s="111">
        <f t="shared" si="2"/>
        <v>283.11929156370076</v>
      </c>
      <c r="I16" s="112"/>
      <c r="J16" s="220"/>
      <c r="K16" s="110">
        <f>K14/K15</f>
        <v>83.151869345557628</v>
      </c>
      <c r="L16" s="110">
        <f t="shared" ref="L16:O16" si="3">L14/L15</f>
        <v>193.89113750288885</v>
      </c>
      <c r="M16" s="110">
        <f t="shared" si="3"/>
        <v>103.70921308294054</v>
      </c>
      <c r="N16" s="110">
        <f t="shared" si="3"/>
        <v>98.362577152671832</v>
      </c>
      <c r="O16" s="113">
        <f t="shared" si="3"/>
        <v>159.30178805317564</v>
      </c>
      <c r="Q16" s="220"/>
      <c r="R16" s="110">
        <f>R14/R15</f>
        <v>50.41082079074431</v>
      </c>
      <c r="S16" s="110">
        <f t="shared" ref="S16:V16" si="4">S14/S15</f>
        <v>109.02296283832472</v>
      </c>
      <c r="T16" s="110">
        <f t="shared" si="4"/>
        <v>59.722202016727834</v>
      </c>
      <c r="U16" s="110">
        <f t="shared" si="4"/>
        <v>56.601623343993623</v>
      </c>
      <c r="V16" s="113">
        <f t="shared" si="4"/>
        <v>88.174421431647019</v>
      </c>
    </row>
    <row r="17" spans="3:22" x14ac:dyDescent="0.25">
      <c r="C17" s="218" t="s">
        <v>23</v>
      </c>
      <c r="D17" s="114">
        <f>$B$2*$B$3*$F$3</f>
        <v>3.2874762808349142E-6</v>
      </c>
      <c r="E17" s="105">
        <f>$B$2*$B$3*$F$3</f>
        <v>3.2874762808349142E-6</v>
      </c>
      <c r="F17" s="105">
        <f>$B$2*$B$3*$F$3</f>
        <v>3.2874762808349142E-6</v>
      </c>
      <c r="G17" s="105">
        <f>$B$2*$B$3*$F$3</f>
        <v>3.2874762808349142E-6</v>
      </c>
      <c r="H17" s="106">
        <f>$B$2*$B$3*$F$3</f>
        <v>3.2874762808349142E-6</v>
      </c>
      <c r="I17" s="107"/>
      <c r="J17" s="218" t="s">
        <v>23</v>
      </c>
      <c r="K17" s="114">
        <f>$B$2*$B$3*$F$3</f>
        <v>3.2874762808349142E-6</v>
      </c>
      <c r="L17" s="105">
        <f>$B$2*$B$3*$F$3</f>
        <v>3.2874762808349142E-6</v>
      </c>
      <c r="M17" s="105">
        <f>$B$2*$B$3*$F$3</f>
        <v>3.2874762808349142E-6</v>
      </c>
      <c r="N17" s="105">
        <f>$B$2*$B$3*$F$3</f>
        <v>3.2874762808349142E-6</v>
      </c>
      <c r="O17" s="106">
        <f>$B$2*$B$3*$F$3</f>
        <v>3.2874762808349142E-6</v>
      </c>
      <c r="Q17" s="218" t="s">
        <v>23</v>
      </c>
      <c r="R17" s="114">
        <f>$B$2*$B$3*$F$3</f>
        <v>3.2874762808349142E-6</v>
      </c>
      <c r="S17" s="105">
        <f>$B$2*$B$3*$F$3</f>
        <v>3.2874762808349142E-6</v>
      </c>
      <c r="T17" s="105">
        <f>$B$2*$B$3*$F$3</f>
        <v>3.2874762808349142E-6</v>
      </c>
      <c r="U17" s="105">
        <f>$B$2*$B$3*$F$3</f>
        <v>3.2874762808349142E-6</v>
      </c>
      <c r="V17" s="106">
        <f>$B$2*$B$3*$F$3</f>
        <v>3.2874762808349142E-6</v>
      </c>
    </row>
    <row r="18" spans="3:22" x14ac:dyDescent="0.25">
      <c r="C18" s="219"/>
      <c r="D18" s="115">
        <f>$G$3*H$3*$B$4*(1/365)*$B$5*$B$6*(1/24)*$M$3*D$9</f>
        <v>2.6789858274712642E-6</v>
      </c>
      <c r="E18" s="73">
        <f>$G$3*I$3*$B$4*(1/365)*$B$5*$B$6*(1/24)*$M$3*E$9</f>
        <v>2.1159882480033426E-7</v>
      </c>
      <c r="F18" s="73">
        <f>$G$3*J$3*$B$4*(1/365)*$B$5*$B$6*(1/24)*$M$3*F$9</f>
        <v>9.3428894458118426E-7</v>
      </c>
      <c r="G18" s="73">
        <f>$G$3*K$3*$B$4*(1/365)*$B$5*$B$6*(1/24)*$M$3*G$9</f>
        <v>1.9406009633314964E-6</v>
      </c>
      <c r="H18" s="74">
        <f>$G$3*L$3*$B$4*(1/365)*$B$5*$B$6*(1/24)*$M$3*H$9</f>
        <v>1.3621525992615312E-7</v>
      </c>
      <c r="I18" s="107"/>
      <c r="J18" s="219"/>
      <c r="K18" s="115">
        <f>$G$3*H$3*$B$4*(1/365)*$B$5*$B$6*(1/24)*$M$3*K$9</f>
        <v>4.8238096791700278E-6</v>
      </c>
      <c r="L18" s="73">
        <f>$G$3*I$3*$B$4*(1/365)*$B$5*$B$6*(1/24)*$M$3*L$9</f>
        <v>3.9637526335837263E-7</v>
      </c>
      <c r="M18" s="73">
        <f>$G$3*J$3*$B$4*(1/365)*$B$5*$B$6*(1/24)*$M$3*M$9</f>
        <v>1.740202308990908E-6</v>
      </c>
      <c r="N18" s="73">
        <f>$G$3*K$3*$B$4*(1/365)*$B$5*$B$6*(1/24)*$M$3*N$9</f>
        <v>3.6343410267338973E-6</v>
      </c>
      <c r="O18" s="74">
        <f>$G$3*L$3*$B$4*(1/365)*$B$5*$B$6*(1/24)*$M$3*O$9</f>
        <v>2.5077084954602753E-7</v>
      </c>
      <c r="Q18" s="219"/>
      <c r="R18" s="115">
        <f>$G$3*H$3*$B$4*(1/365)*$B$5*$B$6*(1/24)*$M$3*R$9</f>
        <v>9.0753029557266628E-6</v>
      </c>
      <c r="S18" s="73">
        <f>$G$3*I$3*$B$4*(1/365)*$B$5*$B$6*(1/24)*$M$3*S$9</f>
        <v>7.35132067381443E-7</v>
      </c>
      <c r="T18" s="73">
        <f>$G$3*J$3*$B$4*(1/365)*$B$5*$B$6*(1/24)*$M$3*T$9</f>
        <v>3.1665976442293573E-6</v>
      </c>
      <c r="U18" s="73">
        <f>$G$3*K$3*$B$4*(1/365)*$B$5*$B$6*(1/24)*$M$3*U$9</f>
        <v>6.5829573314425305E-6</v>
      </c>
      <c r="V18" s="74">
        <f>$G$3*L$3*$B$4*(1/365)*$B$5*$B$6*(1/24)*$M$3*V$9</f>
        <v>4.7458744271090808E-7</v>
      </c>
    </row>
    <row r="19" spans="3:22" ht="15.75" thickBot="1" x14ac:dyDescent="0.3">
      <c r="C19" s="220"/>
      <c r="D19" s="116">
        <f>D17/D18</f>
        <v>1.2271346295019461</v>
      </c>
      <c r="E19" s="110">
        <f t="shared" ref="E19:H19" si="5">E17/E18</f>
        <v>15.536363606636256</v>
      </c>
      <c r="F19" s="110">
        <f t="shared" si="5"/>
        <v>3.5186933334725463</v>
      </c>
      <c r="G19" s="110">
        <f t="shared" si="5"/>
        <v>1.6940506281060432</v>
      </c>
      <c r="H19" s="111">
        <f t="shared" si="5"/>
        <v>24.134419907264178</v>
      </c>
      <c r="I19" s="112"/>
      <c r="J19" s="220"/>
      <c r="K19" s="116">
        <f>K17/K18</f>
        <v>0.68151036203413162</v>
      </c>
      <c r="L19" s="110">
        <f t="shared" ref="L19:O19" si="6">L17/L18</f>
        <v>8.2938482411366472</v>
      </c>
      <c r="M19" s="110">
        <f t="shared" si="6"/>
        <v>1.8891345355938671</v>
      </c>
      <c r="N19" s="110">
        <f t="shared" si="6"/>
        <v>0.90455910896983083</v>
      </c>
      <c r="O19" s="111">
        <f t="shared" si="6"/>
        <v>13.109483366133897</v>
      </c>
      <c r="Q19" s="220"/>
      <c r="R19" s="116">
        <f>R17/R18</f>
        <v>0.36224424648661052</v>
      </c>
      <c r="S19" s="110">
        <f t="shared" ref="S19:V19" si="7">S17/S18</f>
        <v>4.4719533083966514</v>
      </c>
      <c r="T19" s="110">
        <f t="shared" si="7"/>
        <v>1.038173033074107</v>
      </c>
      <c r="U19" s="110">
        <f t="shared" si="7"/>
        <v>0.49939200807709416</v>
      </c>
      <c r="V19" s="111">
        <f t="shared" si="7"/>
        <v>6.9270191011721725</v>
      </c>
    </row>
    <row r="20" spans="3:22" x14ac:dyDescent="0.25">
      <c r="C20" s="218" t="s">
        <v>24</v>
      </c>
      <c r="D20" s="117"/>
      <c r="E20" s="117"/>
      <c r="F20" s="117"/>
      <c r="G20" s="117"/>
      <c r="H20" s="118"/>
      <c r="I20" s="107"/>
      <c r="J20" s="218" t="s">
        <v>24</v>
      </c>
      <c r="K20" s="117"/>
      <c r="L20" s="117"/>
      <c r="M20" s="117"/>
      <c r="N20" s="117"/>
      <c r="O20" s="118"/>
      <c r="Q20" s="218" t="s">
        <v>24</v>
      </c>
      <c r="R20" s="117"/>
      <c r="S20" s="117"/>
      <c r="T20" s="117"/>
      <c r="U20" s="117"/>
      <c r="V20" s="118"/>
    </row>
    <row r="21" spans="3:22" x14ac:dyDescent="0.25">
      <c r="C21" s="219"/>
      <c r="D21" s="119"/>
      <c r="E21" s="119"/>
      <c r="F21" s="119"/>
      <c r="G21" s="119"/>
      <c r="H21" s="120"/>
      <c r="I21" s="107"/>
      <c r="J21" s="219"/>
      <c r="K21" s="119"/>
      <c r="L21" s="119"/>
      <c r="M21" s="119"/>
      <c r="N21" s="119"/>
      <c r="O21" s="120"/>
      <c r="Q21" s="219"/>
      <c r="R21" s="119"/>
      <c r="S21" s="119"/>
      <c r="T21" s="119"/>
      <c r="U21" s="119"/>
      <c r="V21" s="120"/>
    </row>
    <row r="22" spans="3:22" ht="15.75" thickBot="1" x14ac:dyDescent="0.3">
      <c r="C22" s="220"/>
      <c r="D22" s="121"/>
      <c r="E22" s="121"/>
      <c r="F22" s="121"/>
      <c r="G22" s="121"/>
      <c r="H22" s="122"/>
      <c r="I22" s="112"/>
      <c r="J22" s="220"/>
      <c r="K22" s="121"/>
      <c r="L22" s="121"/>
      <c r="M22" s="121"/>
      <c r="N22" s="121"/>
      <c r="O22" s="122"/>
      <c r="Q22" s="220"/>
      <c r="R22" s="121"/>
      <c r="S22" s="121"/>
      <c r="T22" s="121"/>
      <c r="U22" s="121"/>
      <c r="V22" s="122"/>
    </row>
    <row r="23" spans="3:22" x14ac:dyDescent="0.25">
      <c r="C23" s="218" t="s">
        <v>25</v>
      </c>
      <c r="D23" s="105">
        <f>$B$2*$B$3*$F$5</f>
        <v>1.9754846066134545E-7</v>
      </c>
      <c r="E23" s="105">
        <f>$B$2*$B$3*$F$5</f>
        <v>1.9754846066134545E-7</v>
      </c>
      <c r="F23" s="105">
        <f>$B$2*$B$3*$F$5</f>
        <v>1.9754846066134545E-7</v>
      </c>
      <c r="G23" s="105">
        <f>$B$2*$B$3*$F$5</f>
        <v>1.9754846066134545E-7</v>
      </c>
      <c r="H23" s="106">
        <f>$B$2*$B$3*$F$5</f>
        <v>1.9754846066134545E-7</v>
      </c>
      <c r="I23" s="107"/>
      <c r="J23" s="218" t="s">
        <v>25</v>
      </c>
      <c r="K23" s="105">
        <f>$B$2*$B$3*$F$5</f>
        <v>1.9754846066134545E-7</v>
      </c>
      <c r="L23" s="105">
        <f>$B$2*$B$3*$F$5</f>
        <v>1.9754846066134545E-7</v>
      </c>
      <c r="M23" s="105">
        <f>$B$2*$B$3*$F$5</f>
        <v>1.9754846066134545E-7</v>
      </c>
      <c r="N23" s="105">
        <f>$B$2*$B$3*$F$5</f>
        <v>1.9754846066134545E-7</v>
      </c>
      <c r="O23" s="106">
        <f>$B$2*$B$3*$F$5</f>
        <v>1.9754846066134545E-7</v>
      </c>
      <c r="Q23" s="218" t="s">
        <v>25</v>
      </c>
      <c r="R23" s="105">
        <f>$B$2*$B$3*$F$5</f>
        <v>1.9754846066134545E-7</v>
      </c>
      <c r="S23" s="105">
        <f>$B$2*$B$3*$F$5</f>
        <v>1.9754846066134545E-7</v>
      </c>
      <c r="T23" s="105">
        <f>$B$2*$B$3*$F$5</f>
        <v>1.9754846066134545E-7</v>
      </c>
      <c r="U23" s="105">
        <f>$B$2*$B$3*$F$5</f>
        <v>1.9754846066134545E-7</v>
      </c>
      <c r="V23" s="106">
        <f>$B$2*$B$3*$F$5</f>
        <v>1.9754846066134545E-7</v>
      </c>
    </row>
    <row r="24" spans="3:22" x14ac:dyDescent="0.25">
      <c r="C24" s="219"/>
      <c r="D24" s="73">
        <f>$G$5*H$5*$B$4*(1/365)*$B$5*$B$6*(1/24)*$M$5*D$11</f>
        <v>5.0695279312738609E-12</v>
      </c>
      <c r="E24" s="73">
        <f>$G$5*I$5*$B$4*(1/365)*$B$5*$B$6*(1/24)*$M$5*E$11</f>
        <v>3.011930192190374E-12</v>
      </c>
      <c r="F24" s="73">
        <f>$G$5*J$5*$B$4*(1/365)*$B$5*$B$6*(1/24)*$M$5*F$11</f>
        <v>4.1254271924339224E-12</v>
      </c>
      <c r="G24" s="73">
        <f>$G$5*K$5*$B$4*(1/365)*$B$5*$B$6*(1/24)*$M$5*G$11</f>
        <v>4.807964387753571E-12</v>
      </c>
      <c r="H24" s="74">
        <f>$G$5*L$5*$B$4*(1/365)*$B$5*$B$6*(1/24)*$M$5*H$11</f>
        <v>1.5512915902977721E-11</v>
      </c>
      <c r="I24" s="107"/>
      <c r="J24" s="219"/>
      <c r="K24" s="73">
        <f>$G$5*H$5*$B$4*(1/365)*$B$5*$B$6*(1/24)*$M$5*K$11</f>
        <v>8.0432733658199793E-12</v>
      </c>
      <c r="L24" s="73">
        <f>$G$5*I$5*$B$4*(1/365)*$B$5*$B$6*(1/24)*$M$5*L$11</f>
        <v>5.3151709273947783E-12</v>
      </c>
      <c r="M24" s="73">
        <f>$G$5*J$5*$B$4*(1/365)*$B$5*$B$6*(1/24)*$M$5*M$11</f>
        <v>7.2968493466174989E-12</v>
      </c>
      <c r="N24" s="73">
        <f>$G$5*K$5*$B$4*(1/365)*$B$5*$B$6*(1/24)*$M$5*N$11</f>
        <v>7.9570404779781322E-12</v>
      </c>
      <c r="O24" s="74">
        <f>$G$5*L$5*$B$4*(1/365)*$B$5*$B$6*(1/24)*$M$5*O$11</f>
        <v>2.7712393457746605E-11</v>
      </c>
      <c r="Q24" s="219"/>
      <c r="R24" s="73">
        <f>$G$5*H$5*$B$4*(1/365)*$B$5*$B$6*(1/24)*$M$5*R$11</f>
        <v>1.6766259973821931E-11</v>
      </c>
      <c r="S24" s="73">
        <f>$G$5*I$5*$B$4*(1/365)*$B$5*$B$6*(1/24)*$M$5*S$11</f>
        <v>9.2917062138160557E-12</v>
      </c>
      <c r="T24" s="73">
        <f>$G$5*J$5*$B$4*(1/365)*$B$5*$B$6*(1/24)*$M$5*T$11</f>
        <v>1.2943527816261431E-11</v>
      </c>
      <c r="U24" s="73">
        <f>$G$5*K$5*$B$4*(1/365)*$B$5*$B$6*(1/24)*$M$5*U$11</f>
        <v>1.4564476917288597E-11</v>
      </c>
      <c r="V24" s="73">
        <f>$G$5*L$5*$B$4*(1/365)*$B$5*$B$6*(1/24)*$M$5*V$11</f>
        <v>4.9852186057141995E-11</v>
      </c>
    </row>
    <row r="25" spans="3:22" ht="15.75" thickBot="1" x14ac:dyDescent="0.3">
      <c r="C25" s="220"/>
      <c r="D25" s="110">
        <f>D23/D24</f>
        <v>38967.82172609627</v>
      </c>
      <c r="E25" s="110">
        <f t="shared" ref="E25:H25" si="8">E23/E24</f>
        <v>65588.658453495489</v>
      </c>
      <c r="F25" s="110">
        <f t="shared" si="8"/>
        <v>47885.57680127077</v>
      </c>
      <c r="G25" s="110">
        <f t="shared" si="8"/>
        <v>41087.754552534483</v>
      </c>
      <c r="H25" s="111">
        <f t="shared" si="8"/>
        <v>12734.450563444736</v>
      </c>
      <c r="I25" s="112"/>
      <c r="J25" s="220"/>
      <c r="K25" s="110">
        <f>K23/K24</f>
        <v>24560.704538631104</v>
      </c>
      <c r="L25" s="110">
        <f t="shared" ref="L25:O25" si="9">L23/L24</f>
        <v>37166.906456980767</v>
      </c>
      <c r="M25" s="110">
        <f t="shared" si="9"/>
        <v>27073.117626160158</v>
      </c>
      <c r="N25" s="110">
        <f t="shared" si="9"/>
        <v>24826.876425736384</v>
      </c>
      <c r="O25" s="111">
        <f t="shared" si="9"/>
        <v>7128.5239567109129</v>
      </c>
      <c r="Q25" s="220"/>
      <c r="R25" s="110">
        <f>R23/R24</f>
        <v>11782.500150289245</v>
      </c>
      <c r="S25" s="110">
        <f t="shared" ref="S25:V25" si="10">S23/S24</f>
        <v>21260.730388527139</v>
      </c>
      <c r="T25" s="110">
        <f t="shared" si="10"/>
        <v>15262.335235464789</v>
      </c>
      <c r="U25" s="110">
        <f t="shared" si="10"/>
        <v>13563.718201705396</v>
      </c>
      <c r="V25" s="111">
        <f t="shared" si="10"/>
        <v>3962.6840121897517</v>
      </c>
    </row>
    <row r="26" spans="3:22" ht="15.75" thickBot="1" x14ac:dyDescent="0.3">
      <c r="C26" s="123"/>
      <c r="D26" s="124"/>
      <c r="E26" s="125" t="s">
        <v>30</v>
      </c>
      <c r="F26" s="125" t="s">
        <v>31</v>
      </c>
      <c r="G26" s="126" t="s">
        <v>32</v>
      </c>
      <c r="I26" s="127"/>
      <c r="J26" s="123"/>
      <c r="K26" s="124"/>
      <c r="L26" s="128" t="s">
        <v>30</v>
      </c>
      <c r="M26" s="128" t="s">
        <v>31</v>
      </c>
      <c r="N26" s="129" t="s">
        <v>32</v>
      </c>
      <c r="Q26" s="123"/>
      <c r="R26" s="124"/>
      <c r="S26" s="130" t="s">
        <v>30</v>
      </c>
      <c r="T26" s="130" t="s">
        <v>31</v>
      </c>
      <c r="U26" s="131" t="s">
        <v>32</v>
      </c>
    </row>
    <row r="27" spans="3:22" x14ac:dyDescent="0.25">
      <c r="C27" s="215" t="s">
        <v>22</v>
      </c>
      <c r="D27" s="132" t="s">
        <v>64</v>
      </c>
      <c r="E27" s="105">
        <v>149</v>
      </c>
      <c r="F27" s="105">
        <v>150</v>
      </c>
      <c r="G27" s="133">
        <f>(E27-F27)/((1/2)*(E27+F27))</f>
        <v>-6.688963210702341E-3</v>
      </c>
      <c r="J27" s="215" t="s">
        <v>22</v>
      </c>
      <c r="K27" s="132" t="s">
        <v>64</v>
      </c>
      <c r="L27" s="105">
        <v>83.2</v>
      </c>
      <c r="M27" s="105">
        <v>83.2</v>
      </c>
      <c r="N27" s="133">
        <f>(L27-M27)/((1/2)*(L27+M27))</f>
        <v>0</v>
      </c>
      <c r="Q27" s="215" t="s">
        <v>22</v>
      </c>
      <c r="R27" s="132" t="s">
        <v>64</v>
      </c>
      <c r="S27" s="105">
        <v>50.4</v>
      </c>
      <c r="T27" s="105">
        <v>50.5</v>
      </c>
      <c r="U27" s="133">
        <f>(S27-T27)/((1/2)*(S27+T27))</f>
        <v>-1.9821605550049835E-3</v>
      </c>
    </row>
    <row r="28" spans="3:22" x14ac:dyDescent="0.25">
      <c r="C28" s="216"/>
      <c r="D28" s="48" t="s">
        <v>65</v>
      </c>
      <c r="E28" s="73">
        <v>342</v>
      </c>
      <c r="F28" s="73">
        <v>344</v>
      </c>
      <c r="G28" s="134">
        <f t="shared" ref="G28:G46" si="11">(E28-F28)/((1/2)*(E28+F28))</f>
        <v>-5.8309037900874635E-3</v>
      </c>
      <c r="J28" s="216"/>
      <c r="K28" s="48" t="s">
        <v>65</v>
      </c>
      <c r="L28" s="73">
        <v>194</v>
      </c>
      <c r="M28" s="73">
        <v>194</v>
      </c>
      <c r="N28" s="134">
        <f t="shared" ref="N28:N36" si="12">(L28-M28)/((1/2)*(L28+M28))</f>
        <v>0</v>
      </c>
      <c r="Q28" s="216"/>
      <c r="R28" s="48" t="s">
        <v>65</v>
      </c>
      <c r="S28" s="73">
        <v>109</v>
      </c>
      <c r="T28" s="73">
        <v>109</v>
      </c>
      <c r="U28" s="134">
        <f t="shared" ref="U28:U36" si="13">(S28-T28)/((1/2)*(S28+T28))</f>
        <v>0</v>
      </c>
    </row>
    <row r="29" spans="3:22" x14ac:dyDescent="0.25">
      <c r="C29" s="216"/>
      <c r="D29" s="48" t="s">
        <v>66</v>
      </c>
      <c r="E29" s="73">
        <v>182</v>
      </c>
      <c r="F29" s="73">
        <v>182</v>
      </c>
      <c r="G29" s="134">
        <f t="shared" si="11"/>
        <v>0</v>
      </c>
      <c r="J29" s="216"/>
      <c r="K29" s="48" t="s">
        <v>66</v>
      </c>
      <c r="L29" s="73">
        <v>104</v>
      </c>
      <c r="M29" s="73">
        <v>104</v>
      </c>
      <c r="N29" s="134">
        <f t="shared" si="12"/>
        <v>0</v>
      </c>
      <c r="Q29" s="216"/>
      <c r="R29" s="48" t="s">
        <v>66</v>
      </c>
      <c r="S29" s="73">
        <v>59.7</v>
      </c>
      <c r="T29" s="73">
        <v>59.9</v>
      </c>
      <c r="U29" s="134">
        <f t="shared" si="13"/>
        <v>-3.3444816053510994E-3</v>
      </c>
    </row>
    <row r="30" spans="3:22" x14ac:dyDescent="0.25">
      <c r="C30" s="216"/>
      <c r="D30" s="48" t="s">
        <v>67</v>
      </c>
      <c r="E30" s="73">
        <v>166</v>
      </c>
      <c r="F30" s="73">
        <v>167</v>
      </c>
      <c r="G30" s="134">
        <f t="shared" si="11"/>
        <v>-6.006006006006006E-3</v>
      </c>
      <c r="J30" s="216"/>
      <c r="K30" s="48" t="s">
        <v>67</v>
      </c>
      <c r="L30" s="73">
        <v>98.4</v>
      </c>
      <c r="M30" s="73">
        <v>98.5</v>
      </c>
      <c r="N30" s="134">
        <f t="shared" si="12"/>
        <v>-1.0157440325037513E-3</v>
      </c>
      <c r="Q30" s="216"/>
      <c r="R30" s="48" t="s">
        <v>67</v>
      </c>
      <c r="S30" s="73">
        <v>56.6</v>
      </c>
      <c r="T30" s="73">
        <v>56.7</v>
      </c>
      <c r="U30" s="134">
        <f t="shared" si="13"/>
        <v>-1.765225066195965E-3</v>
      </c>
    </row>
    <row r="31" spans="3:22" ht="15.75" thickBot="1" x14ac:dyDescent="0.3">
      <c r="C31" s="217"/>
      <c r="D31" s="135" t="s">
        <v>68</v>
      </c>
      <c r="E31" s="78">
        <v>283</v>
      </c>
      <c r="F31" s="78">
        <v>283</v>
      </c>
      <c r="G31" s="136">
        <f t="shared" si="11"/>
        <v>0</v>
      </c>
      <c r="J31" s="217"/>
      <c r="K31" s="137" t="s">
        <v>68</v>
      </c>
      <c r="L31" s="138">
        <v>159</v>
      </c>
      <c r="M31" s="138">
        <v>159</v>
      </c>
      <c r="N31" s="139">
        <f t="shared" si="12"/>
        <v>0</v>
      </c>
      <c r="Q31" s="217"/>
      <c r="R31" s="137" t="s">
        <v>68</v>
      </c>
      <c r="S31" s="138">
        <v>88.2</v>
      </c>
      <c r="T31" s="138">
        <v>88.3</v>
      </c>
      <c r="U31" s="139">
        <f t="shared" si="13"/>
        <v>-1.1331444759206154E-3</v>
      </c>
    </row>
    <row r="32" spans="3:22" x14ac:dyDescent="0.25">
      <c r="C32" s="215" t="s">
        <v>23</v>
      </c>
      <c r="D32" s="140" t="s">
        <v>64</v>
      </c>
      <c r="E32" s="114">
        <v>1.23</v>
      </c>
      <c r="F32" s="114">
        <v>1.23</v>
      </c>
      <c r="G32" s="141">
        <f t="shared" si="11"/>
        <v>0</v>
      </c>
      <c r="J32" s="215" t="s">
        <v>23</v>
      </c>
      <c r="K32" s="140" t="s">
        <v>64</v>
      </c>
      <c r="L32" s="114">
        <v>0.68200000000000005</v>
      </c>
      <c r="M32" s="114">
        <v>0.68300000000000005</v>
      </c>
      <c r="N32" s="141">
        <f t="shared" si="12"/>
        <v>-1.4652014652014663E-3</v>
      </c>
      <c r="Q32" s="215" t="s">
        <v>23</v>
      </c>
      <c r="R32" s="140" t="s">
        <v>64</v>
      </c>
      <c r="S32" s="114">
        <v>0.36199999999999999</v>
      </c>
      <c r="T32" s="114">
        <v>0.36199999999999999</v>
      </c>
      <c r="U32" s="141">
        <f t="shared" si="13"/>
        <v>0</v>
      </c>
    </row>
    <row r="33" spans="3:21" x14ac:dyDescent="0.25">
      <c r="C33" s="216"/>
      <c r="D33" s="48" t="s">
        <v>65</v>
      </c>
      <c r="E33" s="73">
        <v>15.5</v>
      </c>
      <c r="F33" s="73">
        <v>15.5</v>
      </c>
      <c r="G33" s="134">
        <f t="shared" si="11"/>
        <v>0</v>
      </c>
      <c r="J33" s="216"/>
      <c r="K33" s="48" t="s">
        <v>65</v>
      </c>
      <c r="L33" s="73">
        <v>8.2899999999999991</v>
      </c>
      <c r="M33" s="73">
        <v>8.2899999999999991</v>
      </c>
      <c r="N33" s="134">
        <f t="shared" si="12"/>
        <v>0</v>
      </c>
      <c r="Q33" s="216"/>
      <c r="R33" s="48" t="s">
        <v>65</v>
      </c>
      <c r="S33" s="73">
        <v>4.47</v>
      </c>
      <c r="T33" s="73">
        <v>4.4800000000000004</v>
      </c>
      <c r="U33" s="134">
        <f t="shared" si="13"/>
        <v>-2.2346368715085311E-3</v>
      </c>
    </row>
    <row r="34" spans="3:21" x14ac:dyDescent="0.25">
      <c r="C34" s="216"/>
      <c r="D34" s="48" t="s">
        <v>66</v>
      </c>
      <c r="E34" s="73">
        <v>3.52</v>
      </c>
      <c r="F34" s="73">
        <v>3.52</v>
      </c>
      <c r="G34" s="134">
        <f t="shared" si="11"/>
        <v>0</v>
      </c>
      <c r="J34" s="216"/>
      <c r="K34" s="48" t="s">
        <v>66</v>
      </c>
      <c r="L34" s="73">
        <v>1.89</v>
      </c>
      <c r="M34" s="73">
        <v>1.89</v>
      </c>
      <c r="N34" s="134">
        <f t="shared" si="12"/>
        <v>0</v>
      </c>
      <c r="Q34" s="216"/>
      <c r="R34" s="48" t="s">
        <v>66</v>
      </c>
      <c r="S34" s="73">
        <v>1.04</v>
      </c>
      <c r="T34" s="73">
        <v>1.04</v>
      </c>
      <c r="U34" s="134">
        <f t="shared" si="13"/>
        <v>0</v>
      </c>
    </row>
    <row r="35" spans="3:21" x14ac:dyDescent="0.25">
      <c r="C35" s="216"/>
      <c r="D35" s="48" t="s">
        <v>67</v>
      </c>
      <c r="E35" s="73">
        <v>1.69</v>
      </c>
      <c r="F35" s="73">
        <v>1.69</v>
      </c>
      <c r="G35" s="134">
        <f t="shared" si="11"/>
        <v>0</v>
      </c>
      <c r="J35" s="216"/>
      <c r="K35" s="48" t="s">
        <v>67</v>
      </c>
      <c r="L35" s="73">
        <v>0.90500000000000003</v>
      </c>
      <c r="M35" s="73">
        <v>0.90400000000000003</v>
      </c>
      <c r="N35" s="134">
        <f t="shared" si="12"/>
        <v>1.1055831951354348E-3</v>
      </c>
      <c r="Q35" s="216"/>
      <c r="R35" s="48" t="s">
        <v>67</v>
      </c>
      <c r="S35" s="73">
        <v>0.499</v>
      </c>
      <c r="T35" s="73">
        <v>0.498</v>
      </c>
      <c r="U35" s="134">
        <f t="shared" si="13"/>
        <v>2.0060180541624892E-3</v>
      </c>
    </row>
    <row r="36" spans="3:21" ht="15.75" thickBot="1" x14ac:dyDescent="0.3">
      <c r="C36" s="217"/>
      <c r="D36" s="135" t="s">
        <v>68</v>
      </c>
      <c r="E36" s="78">
        <v>24.1</v>
      </c>
      <c r="F36" s="78">
        <v>24.2</v>
      </c>
      <c r="G36" s="136">
        <f t="shared" si="11"/>
        <v>-4.1407867494823135E-3</v>
      </c>
      <c r="J36" s="217"/>
      <c r="K36" s="135" t="s">
        <v>68</v>
      </c>
      <c r="L36" s="78">
        <v>13.1</v>
      </c>
      <c r="M36" s="78">
        <v>13.1</v>
      </c>
      <c r="N36" s="136">
        <f t="shared" si="12"/>
        <v>0</v>
      </c>
      <c r="Q36" s="217"/>
      <c r="R36" s="135" t="s">
        <v>68</v>
      </c>
      <c r="S36" s="78">
        <v>6.93</v>
      </c>
      <c r="T36" s="78">
        <v>6.95</v>
      </c>
      <c r="U36" s="136">
        <f t="shared" si="13"/>
        <v>-2.8818443804035248E-3</v>
      </c>
    </row>
    <row r="37" spans="3:21" x14ac:dyDescent="0.25">
      <c r="C37" s="215" t="s">
        <v>24</v>
      </c>
      <c r="D37" s="132" t="s">
        <v>64</v>
      </c>
      <c r="E37" s="142"/>
      <c r="F37" s="142"/>
      <c r="G37" s="143"/>
      <c r="J37" s="215" t="s">
        <v>24</v>
      </c>
      <c r="K37" s="132" t="s">
        <v>64</v>
      </c>
      <c r="L37" s="142"/>
      <c r="M37" s="142"/>
      <c r="N37" s="143"/>
      <c r="Q37" s="215" t="s">
        <v>24</v>
      </c>
      <c r="R37" s="132" t="s">
        <v>64</v>
      </c>
      <c r="S37" s="142"/>
      <c r="T37" s="142"/>
      <c r="U37" s="143"/>
    </row>
    <row r="38" spans="3:21" x14ac:dyDescent="0.25">
      <c r="C38" s="216"/>
      <c r="D38" s="48" t="s">
        <v>65</v>
      </c>
      <c r="E38" s="144"/>
      <c r="F38" s="144"/>
      <c r="G38" s="145"/>
      <c r="J38" s="216"/>
      <c r="K38" s="48" t="s">
        <v>65</v>
      </c>
      <c r="L38" s="144"/>
      <c r="M38" s="144"/>
      <c r="N38" s="145"/>
      <c r="Q38" s="216"/>
      <c r="R38" s="48" t="s">
        <v>65</v>
      </c>
      <c r="S38" s="144"/>
      <c r="T38" s="144"/>
      <c r="U38" s="145"/>
    </row>
    <row r="39" spans="3:21" x14ac:dyDescent="0.25">
      <c r="C39" s="216"/>
      <c r="D39" s="48" t="s">
        <v>66</v>
      </c>
      <c r="E39" s="144"/>
      <c r="F39" s="144"/>
      <c r="G39" s="145"/>
      <c r="J39" s="216"/>
      <c r="K39" s="48" t="s">
        <v>66</v>
      </c>
      <c r="L39" s="144"/>
      <c r="M39" s="144"/>
      <c r="N39" s="145"/>
      <c r="Q39" s="216"/>
      <c r="R39" s="48" t="s">
        <v>66</v>
      </c>
      <c r="S39" s="144"/>
      <c r="T39" s="144"/>
      <c r="U39" s="145"/>
    </row>
    <row r="40" spans="3:21" x14ac:dyDescent="0.25">
      <c r="C40" s="216"/>
      <c r="D40" s="48" t="s">
        <v>67</v>
      </c>
      <c r="E40" s="144"/>
      <c r="F40" s="144"/>
      <c r="G40" s="145"/>
      <c r="J40" s="216"/>
      <c r="K40" s="48" t="s">
        <v>67</v>
      </c>
      <c r="L40" s="144"/>
      <c r="M40" s="144"/>
      <c r="N40" s="145"/>
      <c r="Q40" s="216"/>
      <c r="R40" s="48" t="s">
        <v>67</v>
      </c>
      <c r="S40" s="144"/>
      <c r="T40" s="144"/>
      <c r="U40" s="145"/>
    </row>
    <row r="41" spans="3:21" ht="15.75" thickBot="1" x14ac:dyDescent="0.3">
      <c r="C41" s="217"/>
      <c r="D41" s="135" t="s">
        <v>68</v>
      </c>
      <c r="E41" s="146"/>
      <c r="F41" s="146"/>
      <c r="G41" s="147"/>
      <c r="J41" s="217"/>
      <c r="K41" s="135" t="s">
        <v>68</v>
      </c>
      <c r="L41" s="146"/>
      <c r="M41" s="146"/>
      <c r="N41" s="147"/>
      <c r="Q41" s="217"/>
      <c r="R41" s="135" t="s">
        <v>68</v>
      </c>
      <c r="S41" s="146"/>
      <c r="T41" s="146"/>
      <c r="U41" s="147"/>
    </row>
    <row r="42" spans="3:21" x14ac:dyDescent="0.25">
      <c r="C42" s="215" t="s">
        <v>25</v>
      </c>
      <c r="D42" s="132" t="s">
        <v>64</v>
      </c>
      <c r="E42" s="105">
        <v>39000</v>
      </c>
      <c r="F42" s="105">
        <v>39100</v>
      </c>
      <c r="G42" s="133">
        <f t="shared" si="11"/>
        <v>-2.5608194622279128E-3</v>
      </c>
      <c r="J42" s="215" t="s">
        <v>25</v>
      </c>
      <c r="K42" s="132" t="s">
        <v>64</v>
      </c>
      <c r="L42" s="105">
        <v>24600</v>
      </c>
      <c r="M42" s="105">
        <v>24600</v>
      </c>
      <c r="N42" s="133">
        <f t="shared" ref="N42:N46" si="14">(L42-M42)/((1/2)*(L42+M42))</f>
        <v>0</v>
      </c>
      <c r="Q42" s="215" t="s">
        <v>25</v>
      </c>
      <c r="R42" s="132" t="s">
        <v>64</v>
      </c>
      <c r="S42" s="105">
        <v>11800</v>
      </c>
      <c r="T42" s="105">
        <v>11800</v>
      </c>
      <c r="U42" s="133">
        <f t="shared" ref="U42:U46" si="15">(S42-T42)/((1/2)*(S42+T42))</f>
        <v>0</v>
      </c>
    </row>
    <row r="43" spans="3:21" x14ac:dyDescent="0.25">
      <c r="C43" s="216"/>
      <c r="D43" s="48" t="s">
        <v>65</v>
      </c>
      <c r="E43" s="73">
        <v>65600</v>
      </c>
      <c r="F43" s="73">
        <v>65500</v>
      </c>
      <c r="G43" s="134">
        <f t="shared" si="11"/>
        <v>1.5255530129672007E-3</v>
      </c>
      <c r="J43" s="216"/>
      <c r="K43" s="48" t="s">
        <v>65</v>
      </c>
      <c r="L43" s="73">
        <v>37200</v>
      </c>
      <c r="M43" s="73">
        <v>37300</v>
      </c>
      <c r="N43" s="134">
        <f t="shared" si="14"/>
        <v>-2.6845637583892616E-3</v>
      </c>
      <c r="Q43" s="216"/>
      <c r="R43" s="48" t="s">
        <v>65</v>
      </c>
      <c r="S43" s="73">
        <v>21300</v>
      </c>
      <c r="T43" s="73">
        <v>21300</v>
      </c>
      <c r="U43" s="134">
        <f t="shared" si="15"/>
        <v>0</v>
      </c>
    </row>
    <row r="44" spans="3:21" x14ac:dyDescent="0.25">
      <c r="C44" s="216"/>
      <c r="D44" s="48" t="s">
        <v>66</v>
      </c>
      <c r="E44" s="73">
        <v>47900</v>
      </c>
      <c r="F44" s="73">
        <v>48000</v>
      </c>
      <c r="G44" s="134">
        <f t="shared" si="11"/>
        <v>-2.0855057351407717E-3</v>
      </c>
      <c r="J44" s="216"/>
      <c r="K44" s="48" t="s">
        <v>66</v>
      </c>
      <c r="L44" s="73">
        <v>27100</v>
      </c>
      <c r="M44" s="73">
        <v>27100</v>
      </c>
      <c r="N44" s="134">
        <f t="shared" si="14"/>
        <v>0</v>
      </c>
      <c r="Q44" s="216"/>
      <c r="R44" s="48" t="s">
        <v>66</v>
      </c>
      <c r="S44" s="73">
        <v>15300</v>
      </c>
      <c r="T44" s="73">
        <v>15300</v>
      </c>
      <c r="U44" s="134">
        <f t="shared" si="15"/>
        <v>0</v>
      </c>
    </row>
    <row r="45" spans="3:21" x14ac:dyDescent="0.25">
      <c r="C45" s="216"/>
      <c r="D45" s="48" t="s">
        <v>67</v>
      </c>
      <c r="E45" s="73">
        <v>41100</v>
      </c>
      <c r="F45" s="73">
        <v>41200</v>
      </c>
      <c r="G45" s="134">
        <f t="shared" si="11"/>
        <v>-2.4301336573511541E-3</v>
      </c>
      <c r="J45" s="216"/>
      <c r="K45" s="48" t="s">
        <v>67</v>
      </c>
      <c r="L45" s="73">
        <v>24800</v>
      </c>
      <c r="M45" s="73">
        <v>24900</v>
      </c>
      <c r="N45" s="134">
        <f t="shared" si="14"/>
        <v>-4.0241448692152921E-3</v>
      </c>
      <c r="Q45" s="216"/>
      <c r="R45" s="48" t="s">
        <v>67</v>
      </c>
      <c r="S45" s="73">
        <v>13600</v>
      </c>
      <c r="T45" s="73">
        <v>13600</v>
      </c>
      <c r="U45" s="134">
        <f t="shared" si="15"/>
        <v>0</v>
      </c>
    </row>
    <row r="46" spans="3:21" ht="15.75" thickBot="1" x14ac:dyDescent="0.3">
      <c r="C46" s="217"/>
      <c r="D46" s="135" t="s">
        <v>68</v>
      </c>
      <c r="E46" s="78">
        <v>12700</v>
      </c>
      <c r="F46" s="78">
        <v>12700</v>
      </c>
      <c r="G46" s="136">
        <f t="shared" si="11"/>
        <v>0</v>
      </c>
      <c r="J46" s="217"/>
      <c r="K46" s="135" t="s">
        <v>68</v>
      </c>
      <c r="L46" s="78">
        <v>7130</v>
      </c>
      <c r="M46" s="78">
        <v>7130</v>
      </c>
      <c r="N46" s="136">
        <f t="shared" si="14"/>
        <v>0</v>
      </c>
      <c r="Q46" s="217"/>
      <c r="R46" s="135" t="s">
        <v>68</v>
      </c>
      <c r="S46" s="78">
        <v>3960</v>
      </c>
      <c r="T46" s="78">
        <v>3960</v>
      </c>
      <c r="U46" s="136">
        <f t="shared" si="15"/>
        <v>0</v>
      </c>
    </row>
  </sheetData>
  <mergeCells count="27">
    <mergeCell ref="D12:H12"/>
    <mergeCell ref="K12:O12"/>
    <mergeCell ref="R12:V12"/>
    <mergeCell ref="C14:C16"/>
    <mergeCell ref="J14:J16"/>
    <mergeCell ref="Q14:Q16"/>
    <mergeCell ref="C17:C19"/>
    <mergeCell ref="J17:J19"/>
    <mergeCell ref="Q17:Q19"/>
    <mergeCell ref="C20:C22"/>
    <mergeCell ref="J20:J22"/>
    <mergeCell ref="Q20:Q22"/>
    <mergeCell ref="C23:C25"/>
    <mergeCell ref="J23:J25"/>
    <mergeCell ref="Q23:Q25"/>
    <mergeCell ref="C27:C31"/>
    <mergeCell ref="J27:J31"/>
    <mergeCell ref="Q27:Q31"/>
    <mergeCell ref="C42:C46"/>
    <mergeCell ref="J42:J46"/>
    <mergeCell ref="Q42:Q46"/>
    <mergeCell ref="C32:C36"/>
    <mergeCell ref="J32:J36"/>
    <mergeCell ref="Q32:Q36"/>
    <mergeCell ref="C37:C41"/>
    <mergeCell ref="J37:J41"/>
    <mergeCell ref="Q37:Q41"/>
  </mergeCells>
  <conditionalFormatting sqref="G27:G46">
    <cfRule type="cellIs" dxfId="11" priority="5" operator="lessThan">
      <formula>-0.01</formula>
    </cfRule>
    <cfRule type="cellIs" dxfId="10" priority="6" operator="notEqual">
      <formula>0</formula>
    </cfRule>
  </conditionalFormatting>
  <conditionalFormatting sqref="N27:N46">
    <cfRule type="cellIs" dxfId="9" priority="3" operator="lessThan">
      <formula>-0.01</formula>
    </cfRule>
    <cfRule type="cellIs" dxfId="8" priority="4" operator="notEqual">
      <formula>0</formula>
    </cfRule>
  </conditionalFormatting>
  <conditionalFormatting sqref="U27:U46">
    <cfRule type="cellIs" dxfId="7" priority="1" operator="lessThan">
      <formula>-0.01</formula>
    </cfRule>
    <cfRule type="cellIs" dxfId="6" priority="2" operator="notEqual">
      <formula>0</formula>
    </cfRule>
  </conditionalFormatting>
  <pageMargins left="0.7" right="0.7" top="0.75" bottom="0.75" header="0.3" footer="0.3"/>
  <pageSetup scale="5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A7" zoomScale="40" zoomScaleNormal="40" workbookViewId="0">
      <selection activeCell="AB44" sqref="AB44"/>
    </sheetView>
  </sheetViews>
  <sheetFormatPr defaultRowHeight="15" x14ac:dyDescent="0.25"/>
  <cols>
    <col min="1" max="1" width="8.5703125" bestFit="1" customWidth="1"/>
    <col min="2" max="2" width="7.85546875" bestFit="1" customWidth="1"/>
    <col min="3" max="3" width="7" bestFit="1" customWidth="1"/>
    <col min="4" max="4" width="11.7109375" bestFit="1" customWidth="1"/>
    <col min="5" max="5" width="10.7109375" bestFit="1" customWidth="1"/>
    <col min="6" max="6" width="11.42578125" bestFit="1" customWidth="1"/>
    <col min="7" max="7" width="11.5703125" bestFit="1" customWidth="1"/>
    <col min="8" max="9" width="9.7109375" bestFit="1" customWidth="1"/>
    <col min="10" max="10" width="10.5703125" bestFit="1" customWidth="1"/>
    <col min="11" max="11" width="11.7109375" bestFit="1" customWidth="1"/>
    <col min="12" max="13" width="10.7109375" bestFit="1" customWidth="1"/>
    <col min="14" max="14" width="11.5703125" bestFit="1" customWidth="1"/>
    <col min="15" max="15" width="9.5703125" bestFit="1" customWidth="1"/>
    <col min="17" max="17" width="7" bestFit="1" customWidth="1"/>
    <col min="18" max="18" width="11.7109375" bestFit="1" customWidth="1"/>
    <col min="19" max="20" width="10.7109375" bestFit="1" customWidth="1"/>
    <col min="21" max="21" width="11.5703125" bestFit="1" customWidth="1"/>
    <col min="22" max="22" width="9.5703125" bestFit="1" customWidth="1"/>
  </cols>
  <sheetData>
    <row r="1" spans="1:22" x14ac:dyDescent="0.25">
      <c r="A1" s="66" t="s">
        <v>0</v>
      </c>
      <c r="B1" s="67" t="s">
        <v>1</v>
      </c>
      <c r="C1" s="148"/>
      <c r="D1" s="180" t="s">
        <v>70</v>
      </c>
      <c r="E1" s="68" t="s">
        <v>21</v>
      </c>
      <c r="F1" s="68" t="s">
        <v>4</v>
      </c>
      <c r="G1" s="68" t="s">
        <v>51</v>
      </c>
      <c r="H1" s="68" t="s">
        <v>39</v>
      </c>
      <c r="I1" s="68" t="s">
        <v>52</v>
      </c>
      <c r="J1" s="68" t="s">
        <v>53</v>
      </c>
      <c r="K1" s="68" t="s">
        <v>54</v>
      </c>
      <c r="L1" s="68" t="s">
        <v>55</v>
      </c>
      <c r="M1" s="69" t="s">
        <v>56</v>
      </c>
    </row>
    <row r="2" spans="1:22" x14ac:dyDescent="0.25">
      <c r="A2" s="70" t="s">
        <v>2</v>
      </c>
      <c r="B2" s="71">
        <v>9.9999999999999995E-7</v>
      </c>
      <c r="C2" s="149" t="s">
        <v>22</v>
      </c>
      <c r="D2" s="149" t="s">
        <v>77</v>
      </c>
      <c r="E2" s="73">
        <v>432</v>
      </c>
      <c r="F2" s="73">
        <f>0.693/E2</f>
        <v>1.6041666666666665E-3</v>
      </c>
      <c r="G2" s="73">
        <f>(1-EXP(-(F2)*$B$3))</f>
        <v>3.9310637868486542E-2</v>
      </c>
      <c r="H2" s="73">
        <f>'Isotope Specific Factors'!D3</f>
        <v>2.77E-8</v>
      </c>
      <c r="I2" s="73">
        <f>'Isotope Specific Factors'!E3</f>
        <v>1.3799999999999999E-8</v>
      </c>
      <c r="J2" s="73">
        <f>'Isotope Specific Factors'!F3</f>
        <v>2.5799999999999999E-8</v>
      </c>
      <c r="K2" s="73">
        <f>'Isotope Specific Factors'!G3</f>
        <v>2.77E-8</v>
      </c>
      <c r="L2" s="73">
        <f>'Isotope Specific Factors'!C3</f>
        <v>1.8699999999999999E-8</v>
      </c>
      <c r="M2" s="74">
        <v>1</v>
      </c>
    </row>
    <row r="3" spans="1:22" x14ac:dyDescent="0.25">
      <c r="A3" s="70" t="s">
        <v>14</v>
      </c>
      <c r="B3" s="75">
        <v>25</v>
      </c>
      <c r="C3" s="149" t="s">
        <v>23</v>
      </c>
      <c r="D3" s="149" t="s">
        <v>77</v>
      </c>
      <c r="E3" s="73">
        <v>5.27</v>
      </c>
      <c r="F3" s="73">
        <f t="shared" ref="F3:F5" si="0">0.693/E3</f>
        <v>0.13149905123339659</v>
      </c>
      <c r="G3" s="73">
        <f t="shared" ref="G3:G5" si="1">(1-EXP(-(F3)*$B$3))</f>
        <v>0.9626520136123895</v>
      </c>
      <c r="H3" s="73">
        <f>'Isotope Specific Factors'!D4</f>
        <v>1.24E-5</v>
      </c>
      <c r="I3" s="73">
        <f>'Isotope Specific Factors'!E4</f>
        <v>2.26E-6</v>
      </c>
      <c r="J3" s="73">
        <f>'Isotope Specific Factors'!F4</f>
        <v>6.4899999999999997E-6</v>
      </c>
      <c r="K3" s="73">
        <f>'Isotope Specific Factors'!G4</f>
        <v>1.04E-5</v>
      </c>
      <c r="L3" s="73">
        <f>'Isotope Specific Factors'!C4</f>
        <v>2.1900000000000002E-6</v>
      </c>
      <c r="M3" s="74">
        <v>1</v>
      </c>
    </row>
    <row r="4" spans="1:22" x14ac:dyDescent="0.25">
      <c r="A4" s="76" t="s">
        <v>15</v>
      </c>
      <c r="B4" s="75">
        <v>225</v>
      </c>
      <c r="C4" s="149" t="s">
        <v>24</v>
      </c>
      <c r="D4" s="149" t="s">
        <v>77</v>
      </c>
      <c r="E4" s="73">
        <v>12.3</v>
      </c>
      <c r="F4" s="73">
        <f t="shared" si="0"/>
        <v>5.6341463414634141E-2</v>
      </c>
      <c r="G4" s="73">
        <f t="shared" si="1"/>
        <v>0.75549917243911779</v>
      </c>
      <c r="H4" s="73">
        <f>'Isotope Specific Factors'!D6</f>
        <v>0</v>
      </c>
      <c r="I4" s="73">
        <f>'Isotope Specific Factors'!E6</f>
        <v>0</v>
      </c>
      <c r="J4" s="73">
        <f>'Isotope Specific Factors'!F6</f>
        <v>0</v>
      </c>
      <c r="K4" s="73">
        <f>'Isotope Specific Factors'!G6</f>
        <v>0</v>
      </c>
      <c r="L4" s="73">
        <f>'Isotope Specific Factors'!C6</f>
        <v>0</v>
      </c>
      <c r="M4" s="74">
        <v>1</v>
      </c>
    </row>
    <row r="5" spans="1:22" ht="15.75" thickBot="1" x14ac:dyDescent="0.3">
      <c r="A5" s="70" t="s">
        <v>16</v>
      </c>
      <c r="B5" s="75">
        <v>25</v>
      </c>
      <c r="C5" s="150" t="s">
        <v>25</v>
      </c>
      <c r="D5" s="150" t="s">
        <v>77</v>
      </c>
      <c r="E5" s="78">
        <v>87.7</v>
      </c>
      <c r="F5" s="78">
        <f t="shared" si="0"/>
        <v>7.9019384264538192E-3</v>
      </c>
      <c r="G5" s="78">
        <f t="shared" si="1"/>
        <v>0.17925963395695022</v>
      </c>
      <c r="H5" s="78">
        <f>'Isotope Specific Factors'!D7</f>
        <v>6.9200000000000004E-11</v>
      </c>
      <c r="I5" s="78">
        <f>'Isotope Specific Factors'!E7</f>
        <v>4.8100000000000001E-11</v>
      </c>
      <c r="J5" s="78">
        <f>'Isotope Specific Factors'!F7</f>
        <v>6.3000000000000002E-11</v>
      </c>
      <c r="K5" s="78">
        <f>'Isotope Specific Factors'!G7</f>
        <v>6.8700000000000006E-11</v>
      </c>
      <c r="L5" s="78">
        <f>'Isotope Specific Factors'!C7</f>
        <v>3.6800000000000002E-10</v>
      </c>
      <c r="M5" s="79">
        <v>1</v>
      </c>
    </row>
    <row r="6" spans="1:22" ht="15.75" thickBot="1" x14ac:dyDescent="0.3">
      <c r="A6" s="92" t="s">
        <v>18</v>
      </c>
      <c r="B6" s="151">
        <v>8</v>
      </c>
      <c r="C6" s="80"/>
      <c r="D6" s="81"/>
      <c r="E6" s="81"/>
      <c r="F6" s="81"/>
      <c r="G6" s="81"/>
      <c r="H6" s="82"/>
      <c r="I6" s="83"/>
    </row>
    <row r="7" spans="1:22" x14ac:dyDescent="0.25">
      <c r="C7" s="84"/>
      <c r="D7" s="85" t="s">
        <v>40</v>
      </c>
      <c r="E7" s="85" t="s">
        <v>57</v>
      </c>
      <c r="F7" s="85" t="s">
        <v>58</v>
      </c>
      <c r="G7" s="85" t="s">
        <v>59</v>
      </c>
      <c r="H7" s="86" t="s">
        <v>60</v>
      </c>
      <c r="I7" s="87"/>
      <c r="J7" s="84"/>
      <c r="K7" s="88" t="s">
        <v>40</v>
      </c>
      <c r="L7" s="88" t="s">
        <v>57</v>
      </c>
      <c r="M7" s="88" t="s">
        <v>58</v>
      </c>
      <c r="N7" s="88" t="s">
        <v>59</v>
      </c>
      <c r="O7" s="89" t="s">
        <v>60</v>
      </c>
      <c r="Q7" s="84"/>
      <c r="R7" s="90" t="s">
        <v>40</v>
      </c>
      <c r="S7" s="90" t="s">
        <v>57</v>
      </c>
      <c r="T7" s="90" t="s">
        <v>58</v>
      </c>
      <c r="U7" s="90" t="s">
        <v>59</v>
      </c>
      <c r="V7" s="91" t="s">
        <v>60</v>
      </c>
    </row>
    <row r="8" spans="1:22" x14ac:dyDescent="0.25">
      <c r="C8" s="72" t="s">
        <v>22</v>
      </c>
      <c r="D8" s="73">
        <v>0.108</v>
      </c>
      <c r="E8" s="73">
        <v>9.4600000000000004E-2</v>
      </c>
      <c r="F8" s="73">
        <v>9.5000000000000001E-2</v>
      </c>
      <c r="G8" s="73">
        <v>9.69E-2</v>
      </c>
      <c r="H8" s="74">
        <v>8.4400000000000003E-2</v>
      </c>
      <c r="I8" s="93"/>
      <c r="J8" s="72" t="s">
        <v>22</v>
      </c>
      <c r="K8" s="73">
        <v>0.19400000000000001</v>
      </c>
      <c r="L8" s="73">
        <v>0.16700000000000001</v>
      </c>
      <c r="M8" s="73">
        <v>0.16700000000000001</v>
      </c>
      <c r="N8" s="73">
        <v>0.16400000000000001</v>
      </c>
      <c r="O8" s="74">
        <v>0.15</v>
      </c>
      <c r="Q8" s="72" t="s">
        <v>22</v>
      </c>
      <c r="R8" s="73">
        <v>0.32</v>
      </c>
      <c r="S8" s="73">
        <v>0.29699999999999999</v>
      </c>
      <c r="T8" s="73">
        <v>0.28999999999999998</v>
      </c>
      <c r="U8" s="73">
        <v>0.28499999999999998</v>
      </c>
      <c r="V8" s="74">
        <v>0.27100000000000002</v>
      </c>
    </row>
    <row r="9" spans="1:22" x14ac:dyDescent="0.25">
      <c r="C9" s="72" t="s">
        <v>23</v>
      </c>
      <c r="D9" s="73">
        <v>9.8299999999999998E-2</v>
      </c>
      <c r="E9" s="73">
        <v>4.2599999999999999E-2</v>
      </c>
      <c r="F9" s="73">
        <v>6.5500000000000003E-2</v>
      </c>
      <c r="G9" s="73">
        <v>8.4900000000000003E-2</v>
      </c>
      <c r="H9" s="74">
        <v>2.8299999999999999E-2</v>
      </c>
      <c r="I9" s="93"/>
      <c r="J9" s="72" t="s">
        <v>23</v>
      </c>
      <c r="K9" s="73">
        <v>0.17699999999999999</v>
      </c>
      <c r="L9" s="73">
        <v>7.9799999999999996E-2</v>
      </c>
      <c r="M9" s="73">
        <v>0.122</v>
      </c>
      <c r="N9" s="73">
        <v>0.159</v>
      </c>
      <c r="O9" s="74">
        <v>5.21E-2</v>
      </c>
      <c r="Q9" s="72" t="s">
        <v>23</v>
      </c>
      <c r="R9" s="73">
        <v>0.33300000000000002</v>
      </c>
      <c r="S9" s="73">
        <v>0.14799999999999999</v>
      </c>
      <c r="T9" s="73">
        <v>0.222</v>
      </c>
      <c r="U9" s="73">
        <v>0.28799999999999998</v>
      </c>
      <c r="V9" s="74">
        <v>9.8599999999999993E-2</v>
      </c>
    </row>
    <row r="10" spans="1:22" x14ac:dyDescent="0.25">
      <c r="C10" s="72" t="s">
        <v>24</v>
      </c>
      <c r="D10" s="73">
        <v>0.9</v>
      </c>
      <c r="E10" s="73">
        <v>0.9</v>
      </c>
      <c r="F10" s="73">
        <v>0.9</v>
      </c>
      <c r="G10" s="73">
        <v>0.9</v>
      </c>
      <c r="H10" s="74">
        <v>0.9</v>
      </c>
      <c r="I10" s="93"/>
      <c r="J10" s="72" t="s">
        <v>24</v>
      </c>
      <c r="K10" s="73">
        <v>0.9</v>
      </c>
      <c r="L10" s="73">
        <v>0.9</v>
      </c>
      <c r="M10" s="73">
        <v>0.9</v>
      </c>
      <c r="N10" s="73">
        <v>0.9</v>
      </c>
      <c r="O10" s="74">
        <v>0.9</v>
      </c>
      <c r="Q10" s="72" t="s">
        <v>24</v>
      </c>
      <c r="R10" s="73">
        <v>0.9</v>
      </c>
      <c r="S10" s="73">
        <v>0.9</v>
      </c>
      <c r="T10" s="73">
        <v>0.9</v>
      </c>
      <c r="U10" s="73">
        <v>0.9</v>
      </c>
      <c r="V10" s="74">
        <v>0.9</v>
      </c>
    </row>
    <row r="11" spans="1:22" ht="15.75" thickBot="1" x14ac:dyDescent="0.3">
      <c r="C11" s="77" t="s">
        <v>25</v>
      </c>
      <c r="D11" s="78">
        <v>0.17899999999999999</v>
      </c>
      <c r="E11" s="78">
        <v>0.153</v>
      </c>
      <c r="F11" s="78">
        <v>0.16</v>
      </c>
      <c r="G11" s="78">
        <v>0.17100000000000001</v>
      </c>
      <c r="H11" s="79">
        <v>0.10299999999999999</v>
      </c>
      <c r="I11" s="93"/>
      <c r="J11" s="77" t="s">
        <v>25</v>
      </c>
      <c r="K11" s="78">
        <v>0.28399999999999997</v>
      </c>
      <c r="L11" s="78">
        <v>0.27</v>
      </c>
      <c r="M11" s="78">
        <v>0.28299999999999997</v>
      </c>
      <c r="N11" s="78">
        <v>0.28299999999999997</v>
      </c>
      <c r="O11" s="79">
        <v>0.184</v>
      </c>
      <c r="Q11" s="77" t="s">
        <v>25</v>
      </c>
      <c r="R11" s="78">
        <v>0.59199999999999997</v>
      </c>
      <c r="S11" s="78">
        <v>0.47199999999999998</v>
      </c>
      <c r="T11" s="78">
        <v>0.502</v>
      </c>
      <c r="U11" s="78">
        <v>0.51800000000000002</v>
      </c>
      <c r="V11" s="79">
        <v>0.33100000000000002</v>
      </c>
    </row>
    <row r="12" spans="1:22" ht="15.75" x14ac:dyDescent="0.25">
      <c r="C12" s="94"/>
      <c r="D12" s="221" t="s">
        <v>61</v>
      </c>
      <c r="E12" s="222"/>
      <c r="F12" s="222"/>
      <c r="G12" s="222"/>
      <c r="H12" s="223"/>
      <c r="I12" s="95"/>
      <c r="J12" s="96"/>
      <c r="K12" s="224" t="s">
        <v>62</v>
      </c>
      <c r="L12" s="225"/>
      <c r="M12" s="225"/>
      <c r="N12" s="225"/>
      <c r="O12" s="226"/>
      <c r="P12" s="97"/>
      <c r="Q12" s="96"/>
      <c r="R12" s="227" t="s">
        <v>63</v>
      </c>
      <c r="S12" s="228"/>
      <c r="T12" s="228"/>
      <c r="U12" s="228"/>
      <c r="V12" s="229"/>
    </row>
    <row r="13" spans="1:22" ht="15.75" thickBot="1" x14ac:dyDescent="0.3">
      <c r="C13" s="27"/>
      <c r="D13" s="98" t="s">
        <v>64</v>
      </c>
      <c r="E13" s="98" t="s">
        <v>65</v>
      </c>
      <c r="F13" s="98" t="s">
        <v>66</v>
      </c>
      <c r="G13" s="98" t="s">
        <v>67</v>
      </c>
      <c r="H13" s="99" t="s">
        <v>68</v>
      </c>
      <c r="I13" s="100"/>
      <c r="J13" s="27"/>
      <c r="K13" s="101" t="s">
        <v>64</v>
      </c>
      <c r="L13" s="101" t="s">
        <v>65</v>
      </c>
      <c r="M13" s="101" t="s">
        <v>66</v>
      </c>
      <c r="N13" s="101" t="s">
        <v>67</v>
      </c>
      <c r="O13" s="102" t="s">
        <v>68</v>
      </c>
      <c r="Q13" s="27"/>
      <c r="R13" s="103" t="s">
        <v>64</v>
      </c>
      <c r="S13" s="103" t="s">
        <v>65</v>
      </c>
      <c r="T13" s="103" t="s">
        <v>66</v>
      </c>
      <c r="U13" s="103" t="s">
        <v>67</v>
      </c>
      <c r="V13" s="104" t="s">
        <v>68</v>
      </c>
    </row>
    <row r="14" spans="1:22" x14ac:dyDescent="0.25">
      <c r="C14" s="218" t="s">
        <v>22</v>
      </c>
      <c r="D14" s="105">
        <f>$B$2*$B$3*$F$2</f>
        <v>4.0104166666666658E-8</v>
      </c>
      <c r="E14" s="105">
        <f>$B$2*$B$3*$F$2</f>
        <v>4.0104166666666658E-8</v>
      </c>
      <c r="F14" s="105">
        <f>$B$2*$B$3*$F$2</f>
        <v>4.0104166666666658E-8</v>
      </c>
      <c r="G14" s="105">
        <f>$B$2*$B$3*$F$2</f>
        <v>4.0104166666666658E-8</v>
      </c>
      <c r="H14" s="106">
        <f>$B$2*$B$3*$F$2</f>
        <v>4.0104166666666658E-8</v>
      </c>
      <c r="I14" s="107"/>
      <c r="J14" s="218" t="s">
        <v>22</v>
      </c>
      <c r="K14" s="105">
        <f>$B$2*$B$3*$F$2</f>
        <v>4.0104166666666658E-8</v>
      </c>
      <c r="L14" s="105">
        <f>$B$2*$B$3*$F$2</f>
        <v>4.0104166666666658E-8</v>
      </c>
      <c r="M14" s="105">
        <f>$B$2*$B$3*$F$2</f>
        <v>4.0104166666666658E-8</v>
      </c>
      <c r="N14" s="105">
        <f>$B$2*$B$3*$F$2</f>
        <v>4.0104166666666658E-8</v>
      </c>
      <c r="O14" s="108">
        <f>$B$2*$B$3*$F$2</f>
        <v>4.0104166666666658E-8</v>
      </c>
      <c r="Q14" s="218" t="s">
        <v>22</v>
      </c>
      <c r="R14" s="105">
        <f>$B$2*$B$3*$F$2</f>
        <v>4.0104166666666658E-8</v>
      </c>
      <c r="S14" s="105">
        <f>$B$2*$B$3*$F$2</f>
        <v>4.0104166666666658E-8</v>
      </c>
      <c r="T14" s="105">
        <f>$B$2*$B$3*$F$2</f>
        <v>4.0104166666666658E-8</v>
      </c>
      <c r="U14" s="105">
        <f>$B$2*$B$3*$F$2</f>
        <v>4.0104166666666658E-8</v>
      </c>
      <c r="V14" s="108">
        <f>$B$2*$B$3*$F$2</f>
        <v>4.0104166666666658E-8</v>
      </c>
    </row>
    <row r="15" spans="1:22" x14ac:dyDescent="0.25">
      <c r="C15" s="219"/>
      <c r="D15" s="73">
        <f>$G$2*H$2*$B$4*(1/365)*$B$5*$B$6*(1/24)*$M$2*D$8</f>
        <v>6.0411834373646047E-10</v>
      </c>
      <c r="E15" s="73">
        <f>$G$2*I$2*$B$4*(1/365)*$B$5*$B$6*(1/24)*$M$2*E$8</f>
        <v>2.636262920781771E-10</v>
      </c>
      <c r="F15" s="73">
        <f>$G$2*J$2*$B$4*(1/365)*$B$5*$B$6*(1/24)*$M$2*F$8</f>
        <v>4.9495054836811896E-10</v>
      </c>
      <c r="G15" s="73">
        <f>$G$2*K$2*$B$4*(1/365)*$B$5*$B$6*(1/24)*$M$2*G$8</f>
        <v>5.420284028524354E-10</v>
      </c>
      <c r="H15" s="74">
        <f>$G$2*L$2*$B$4*(1/365)*$B$5*$B$6*(1/24)*$M$2*H$8</f>
        <v>3.1871503528291926E-10</v>
      </c>
      <c r="I15" s="107"/>
      <c r="J15" s="219"/>
      <c r="K15" s="73">
        <f>$G$2*H$2*$B$4*(1/365)*$B$5*$B$6*(1/24)*$M$2*K$8</f>
        <v>1.0851755433784568E-9</v>
      </c>
      <c r="L15" s="73">
        <f>$G$2*I$2*$B$4*(1/365)*$B$5*$B$6*(1/24)*$M$2*L$8</f>
        <v>4.6538679468346277E-10</v>
      </c>
      <c r="M15" s="73">
        <f>$G$2*J$2*$B$4*(1/365)*$B$5*$B$6*(1/24)*$M$2*M$8</f>
        <v>8.7007096397343022E-10</v>
      </c>
      <c r="N15" s="73">
        <f>$G$2*K$2*$B$4*(1/365)*$B$5*$B$6*(1/24)*$M$2*N$8</f>
        <v>9.1736489234055117E-10</v>
      </c>
      <c r="O15" s="109">
        <f>$G$2*L$2*$B$4*(1/365)*$B$5*$B$6*(1/24)*$M$2*O$8</f>
        <v>5.6643667408101758E-10</v>
      </c>
      <c r="Q15" s="219"/>
      <c r="R15" s="73">
        <f>$G$2*H$2*$B$4*(1/365)*$B$5*$B$6*(1/24)*$M$2*R$8</f>
        <v>1.7899802777376607E-9</v>
      </c>
      <c r="S15" s="73">
        <f>$G$2*I$2*$B$4*(1/365)*$B$5*$B$6*(1/24)*$M$2*S$8</f>
        <v>8.2766394024543968E-10</v>
      </c>
      <c r="T15" s="73">
        <f>$G$2*J$2*$B$4*(1/365)*$B$5*$B$6*(1/24)*$M$2*T$8</f>
        <v>1.5109016739658368E-9</v>
      </c>
      <c r="U15" s="73">
        <f>$G$2*K$2*$B$4*(1/365)*$B$5*$B$6*(1/24)*$M$2*U$8</f>
        <v>1.5942011848601038E-9</v>
      </c>
      <c r="V15" s="109">
        <f>$G$2*L$2*$B$4*(1/365)*$B$5*$B$6*(1/24)*$M$2*V$8</f>
        <v>1.0233622578397051E-9</v>
      </c>
    </row>
    <row r="16" spans="1:22" ht="15.75" thickBot="1" x14ac:dyDescent="0.3">
      <c r="C16" s="220"/>
      <c r="D16" s="110">
        <f>D14/D15</f>
        <v>66.38461997135056</v>
      </c>
      <c r="E16" s="110">
        <f t="shared" ref="E16:H16" si="2">E14/E15</f>
        <v>152.12506442556935</v>
      </c>
      <c r="F16" s="110">
        <f t="shared" si="2"/>
        <v>81.026613262461169</v>
      </c>
      <c r="G16" s="110">
        <f t="shared" si="2"/>
        <v>73.989050122867496</v>
      </c>
      <c r="H16" s="111">
        <f t="shared" si="2"/>
        <v>125.83079625053365</v>
      </c>
      <c r="I16" s="112"/>
      <c r="J16" s="220"/>
      <c r="K16" s="110">
        <f>K14/K15</f>
        <v>36.956386375803405</v>
      </c>
      <c r="L16" s="110">
        <f t="shared" ref="L16:O16" si="3">L14/L15</f>
        <v>86.173838890172817</v>
      </c>
      <c r="M16" s="110">
        <f t="shared" si="3"/>
        <v>46.09298359241803</v>
      </c>
      <c r="N16" s="110">
        <f t="shared" si="3"/>
        <v>43.716700956743047</v>
      </c>
      <c r="O16" s="113">
        <f t="shared" si="3"/>
        <v>70.800794690300279</v>
      </c>
      <c r="Q16" s="220"/>
      <c r="R16" s="110">
        <f>R14/R15</f>
        <v>22.404809240330813</v>
      </c>
      <c r="S16" s="110">
        <f t="shared" ref="S16:V16" si="4">S14/S15</f>
        <v>48.45465015036654</v>
      </c>
      <c r="T16" s="110">
        <f t="shared" si="4"/>
        <v>26.543200896323487</v>
      </c>
      <c r="U16" s="110">
        <f t="shared" si="4"/>
        <v>25.156277041774953</v>
      </c>
      <c r="V16" s="113">
        <f t="shared" si="4"/>
        <v>39.188631747398674</v>
      </c>
    </row>
    <row r="17" spans="3:22" x14ac:dyDescent="0.25">
      <c r="C17" s="218" t="s">
        <v>23</v>
      </c>
      <c r="D17" s="114">
        <f>$B$2*$B$3*$F$3</f>
        <v>3.2874762808349142E-6</v>
      </c>
      <c r="E17" s="105">
        <f>$B$2*$B$3*$F$3</f>
        <v>3.2874762808349142E-6</v>
      </c>
      <c r="F17" s="105">
        <f>$B$2*$B$3*$F$3</f>
        <v>3.2874762808349142E-6</v>
      </c>
      <c r="G17" s="105">
        <f>$B$2*$B$3*$F$3</f>
        <v>3.2874762808349142E-6</v>
      </c>
      <c r="H17" s="106">
        <f>$B$2*$B$3*$F$3</f>
        <v>3.2874762808349142E-6</v>
      </c>
      <c r="I17" s="107"/>
      <c r="J17" s="218" t="s">
        <v>23</v>
      </c>
      <c r="K17" s="114">
        <f>$B$2*$B$3*$F$3</f>
        <v>3.2874762808349142E-6</v>
      </c>
      <c r="L17" s="105">
        <f>$B$2*$B$3*$F$3</f>
        <v>3.2874762808349142E-6</v>
      </c>
      <c r="M17" s="105">
        <f>$B$2*$B$3*$F$3</f>
        <v>3.2874762808349142E-6</v>
      </c>
      <c r="N17" s="105">
        <f>$B$2*$B$3*$F$3</f>
        <v>3.2874762808349142E-6</v>
      </c>
      <c r="O17" s="106">
        <f>$B$2*$B$3*$F$3</f>
        <v>3.2874762808349142E-6</v>
      </c>
      <c r="Q17" s="218" t="s">
        <v>23</v>
      </c>
      <c r="R17" s="114">
        <f>$B$2*$B$3*$F$3</f>
        <v>3.2874762808349142E-6</v>
      </c>
      <c r="S17" s="105">
        <f>$B$2*$B$3*$F$3</f>
        <v>3.2874762808349142E-6</v>
      </c>
      <c r="T17" s="105">
        <f>$B$2*$B$3*$F$3</f>
        <v>3.2874762808349142E-6</v>
      </c>
      <c r="U17" s="105">
        <f>$B$2*$B$3*$F$3</f>
        <v>3.2874762808349142E-6</v>
      </c>
      <c r="V17" s="106">
        <f>$B$2*$B$3*$F$3</f>
        <v>3.2874762808349142E-6</v>
      </c>
    </row>
    <row r="18" spans="3:22" x14ac:dyDescent="0.25">
      <c r="C18" s="219"/>
      <c r="D18" s="115">
        <f>$G$3*H$3*$B$4*(1/365)*$B$5*$B$6*(1/24)*$M$3*D$9</f>
        <v>6.0277181118103438E-6</v>
      </c>
      <c r="E18" s="73">
        <f>$G$3*I$3*$B$4*(1/365)*$B$5*$B$6*(1/24)*$M$3*E$9</f>
        <v>4.7609735580075204E-7</v>
      </c>
      <c r="F18" s="73">
        <f>$G$3*J$3*$B$4*(1/365)*$B$5*$B$6*(1/24)*$M$3*F$9</f>
        <v>2.1021501253076646E-6</v>
      </c>
      <c r="G18" s="73">
        <f>$G$3*K$3*$B$4*(1/365)*$B$5*$B$6*(1/24)*$M$3*G$9</f>
        <v>4.3663521674958667E-6</v>
      </c>
      <c r="H18" s="74">
        <f>$G$3*L$3*$B$4*(1/365)*$B$5*$B$6*(1/24)*$M$3*H$9</f>
        <v>3.0648433483384451E-7</v>
      </c>
      <c r="I18" s="107"/>
      <c r="J18" s="219"/>
      <c r="K18" s="115">
        <f>$G$3*H$3*$B$4*(1/365)*$B$5*$B$6*(1/24)*$M$3*K$9</f>
        <v>1.0853571778132561E-5</v>
      </c>
      <c r="L18" s="73">
        <f>$G$3*I$3*$B$4*(1/365)*$B$5*$B$6*(1/24)*$M$3*L$9</f>
        <v>8.9184434255633833E-7</v>
      </c>
      <c r="M18" s="73">
        <f>$G$3*J$3*$B$4*(1/365)*$B$5*$B$6*(1/24)*$M$3*M$9</f>
        <v>3.9154551952295428E-6</v>
      </c>
      <c r="N18" s="73">
        <f>$G$3*K$3*$B$4*(1/365)*$B$5*$B$6*(1/24)*$M$3*N$9</f>
        <v>8.1772673101512698E-6</v>
      </c>
      <c r="O18" s="74">
        <f>$G$3*L$3*$B$4*(1/365)*$B$5*$B$6*(1/24)*$M$3*O$9</f>
        <v>5.6423441147856189E-7</v>
      </c>
      <c r="Q18" s="219"/>
      <c r="R18" s="115">
        <f>$G$3*H$3*$B$4*(1/365)*$B$5*$B$6*(1/24)*$M$3*R$9</f>
        <v>2.041943165038499E-5</v>
      </c>
      <c r="S18" s="73">
        <f>$G$3*I$3*$B$4*(1/365)*$B$5*$B$6*(1/24)*$M$3*S$9</f>
        <v>1.6540471516082465E-6</v>
      </c>
      <c r="T18" s="73">
        <f>$G$3*J$3*$B$4*(1/365)*$B$5*$B$6*(1/24)*$M$3*T$9</f>
        <v>7.1248446995160536E-6</v>
      </c>
      <c r="U18" s="73">
        <f>$G$3*K$3*$B$4*(1/365)*$B$5*$B$6*(1/24)*$M$3*U$9</f>
        <v>1.4811653995745694E-5</v>
      </c>
      <c r="V18" s="74">
        <f>$G$3*L$3*$B$4*(1/365)*$B$5*$B$6*(1/24)*$M$3*V$9</f>
        <v>1.067821746099543E-6</v>
      </c>
    </row>
    <row r="19" spans="3:22" ht="15.75" thickBot="1" x14ac:dyDescent="0.3">
      <c r="C19" s="220"/>
      <c r="D19" s="116">
        <f>D17/D18</f>
        <v>0.54539316866753162</v>
      </c>
      <c r="E19" s="110">
        <f t="shared" ref="E19:H19" si="5">E17/E18</f>
        <v>6.9050504918383364</v>
      </c>
      <c r="F19" s="110">
        <f t="shared" si="5"/>
        <v>1.563863703765576</v>
      </c>
      <c r="G19" s="110">
        <f t="shared" si="5"/>
        <v>0.75291139026935261</v>
      </c>
      <c r="H19" s="111">
        <f t="shared" si="5"/>
        <v>10.726408847672968</v>
      </c>
      <c r="I19" s="112"/>
      <c r="J19" s="220"/>
      <c r="K19" s="116">
        <f>K17/K18</f>
        <v>0.30289349423739192</v>
      </c>
      <c r="L19" s="110">
        <f t="shared" ref="L19:O19" si="6">L17/L18</f>
        <v>3.6861547738385103</v>
      </c>
      <c r="M19" s="110">
        <f t="shared" si="6"/>
        <v>0.83961534915282987</v>
      </c>
      <c r="N19" s="110">
        <f t="shared" si="6"/>
        <v>0.40202627065325808</v>
      </c>
      <c r="O19" s="111">
        <f t="shared" si="6"/>
        <v>5.8264370516150663</v>
      </c>
      <c r="Q19" s="220"/>
      <c r="R19" s="116">
        <f>R17/R18</f>
        <v>0.16099744288293802</v>
      </c>
      <c r="S19" s="110">
        <f t="shared" ref="S19:V19" si="7">S17/S18</f>
        <v>1.9875348037318454</v>
      </c>
      <c r="T19" s="110">
        <f t="shared" si="7"/>
        <v>0.46141023692182542</v>
      </c>
      <c r="U19" s="110">
        <f t="shared" si="7"/>
        <v>0.22195200358981962</v>
      </c>
      <c r="V19" s="111">
        <f t="shared" si="7"/>
        <v>3.0786751560765215</v>
      </c>
    </row>
    <row r="20" spans="3:22" x14ac:dyDescent="0.25">
      <c r="C20" s="218" t="s">
        <v>24</v>
      </c>
      <c r="D20" s="117"/>
      <c r="E20" s="117"/>
      <c r="F20" s="117"/>
      <c r="G20" s="117"/>
      <c r="H20" s="118"/>
      <c r="I20" s="107"/>
      <c r="J20" s="218" t="s">
        <v>24</v>
      </c>
      <c r="K20" s="117"/>
      <c r="L20" s="117"/>
      <c r="M20" s="117"/>
      <c r="N20" s="117"/>
      <c r="O20" s="118"/>
      <c r="Q20" s="218" t="s">
        <v>24</v>
      </c>
      <c r="R20" s="117"/>
      <c r="S20" s="117"/>
      <c r="T20" s="117"/>
      <c r="U20" s="117"/>
      <c r="V20" s="118"/>
    </row>
    <row r="21" spans="3:22" x14ac:dyDescent="0.25">
      <c r="C21" s="219"/>
      <c r="D21" s="119"/>
      <c r="E21" s="119"/>
      <c r="F21" s="119"/>
      <c r="G21" s="119"/>
      <c r="H21" s="120"/>
      <c r="I21" s="107"/>
      <c r="J21" s="219"/>
      <c r="K21" s="119"/>
      <c r="L21" s="119"/>
      <c r="M21" s="119"/>
      <c r="N21" s="119"/>
      <c r="O21" s="120"/>
      <c r="Q21" s="219"/>
      <c r="R21" s="119"/>
      <c r="S21" s="119"/>
      <c r="T21" s="119"/>
      <c r="U21" s="119"/>
      <c r="V21" s="120"/>
    </row>
    <row r="22" spans="3:22" ht="15.75" thickBot="1" x14ac:dyDescent="0.3">
      <c r="C22" s="220"/>
      <c r="D22" s="121"/>
      <c r="E22" s="121"/>
      <c r="F22" s="121"/>
      <c r="G22" s="121"/>
      <c r="H22" s="122"/>
      <c r="I22" s="112"/>
      <c r="J22" s="220"/>
      <c r="K22" s="121"/>
      <c r="L22" s="121"/>
      <c r="M22" s="121"/>
      <c r="N22" s="121"/>
      <c r="O22" s="122"/>
      <c r="Q22" s="220"/>
      <c r="R22" s="121"/>
      <c r="S22" s="121"/>
      <c r="T22" s="121"/>
      <c r="U22" s="121"/>
      <c r="V22" s="122"/>
    </row>
    <row r="23" spans="3:22" x14ac:dyDescent="0.25">
      <c r="C23" s="218" t="s">
        <v>25</v>
      </c>
      <c r="D23" s="105">
        <f>$B$2*$B$3*$F$5</f>
        <v>1.9754846066134545E-7</v>
      </c>
      <c r="E23" s="105">
        <f>$B$2*$B$3*$F$5</f>
        <v>1.9754846066134545E-7</v>
      </c>
      <c r="F23" s="105">
        <f>$B$2*$B$3*$F$5</f>
        <v>1.9754846066134545E-7</v>
      </c>
      <c r="G23" s="105">
        <f>$B$2*$B$3*$F$5</f>
        <v>1.9754846066134545E-7</v>
      </c>
      <c r="H23" s="106">
        <f>$B$2*$B$3*$F$5</f>
        <v>1.9754846066134545E-7</v>
      </c>
      <c r="I23" s="107"/>
      <c r="J23" s="218" t="s">
        <v>25</v>
      </c>
      <c r="K23" s="105">
        <f>$B$2*$B$3*$F$5</f>
        <v>1.9754846066134545E-7</v>
      </c>
      <c r="L23" s="105">
        <f>$B$2*$B$3*$F$5</f>
        <v>1.9754846066134545E-7</v>
      </c>
      <c r="M23" s="105">
        <f>$B$2*$B$3*$F$5</f>
        <v>1.9754846066134545E-7</v>
      </c>
      <c r="N23" s="105">
        <f>$B$2*$B$3*$F$5</f>
        <v>1.9754846066134545E-7</v>
      </c>
      <c r="O23" s="106">
        <f>$B$2*$B$3*$F$5</f>
        <v>1.9754846066134545E-7</v>
      </c>
      <c r="Q23" s="218" t="s">
        <v>25</v>
      </c>
      <c r="R23" s="105">
        <f>$B$2*$B$3*$F$5</f>
        <v>1.9754846066134545E-7</v>
      </c>
      <c r="S23" s="105">
        <f>$B$2*$B$3*$F$5</f>
        <v>1.9754846066134545E-7</v>
      </c>
      <c r="T23" s="105">
        <f>$B$2*$B$3*$F$5</f>
        <v>1.9754846066134545E-7</v>
      </c>
      <c r="U23" s="105">
        <f>$B$2*$B$3*$F$5</f>
        <v>1.9754846066134545E-7</v>
      </c>
      <c r="V23" s="106">
        <f>$B$2*$B$3*$F$5</f>
        <v>1.9754846066134545E-7</v>
      </c>
    </row>
    <row r="24" spans="3:22" x14ac:dyDescent="0.25">
      <c r="C24" s="219"/>
      <c r="D24" s="73">
        <f>$G$5*H$5*$B$4*(1/365)*$B$5*$B$6*(1/24)*$M$5*D$11</f>
        <v>1.1406437845366185E-11</v>
      </c>
      <c r="E24" s="73">
        <f>$G$5*I$5*$B$4*(1/365)*$B$5*$B$6*(1/24)*$M$5*E$11</f>
        <v>6.7768429324283417E-12</v>
      </c>
      <c r="F24" s="73">
        <f>$G$5*J$5*$B$4*(1/365)*$B$5*$B$6*(1/24)*$M$5*F$11</f>
        <v>9.2822111829763267E-12</v>
      </c>
      <c r="G24" s="73">
        <f>$G$5*K$5*$B$4*(1/365)*$B$5*$B$6*(1/24)*$M$5*G$11</f>
        <v>1.0817919872445537E-11</v>
      </c>
      <c r="H24" s="74">
        <f>$G$5*L$5*$B$4*(1/365)*$B$5*$B$6*(1/24)*$M$5*H$11</f>
        <v>3.4904060781699865E-11</v>
      </c>
      <c r="I24" s="107"/>
      <c r="J24" s="219"/>
      <c r="K24" s="73">
        <f>$G$5*H$5*$B$4*(1/365)*$B$5*$B$6*(1/24)*$M$5*K$11</f>
        <v>1.8097365073094954E-11</v>
      </c>
      <c r="L24" s="73">
        <f>$G$5*I$5*$B$4*(1/365)*$B$5*$B$6*(1/24)*$M$5*L$11</f>
        <v>1.1959134586638251E-11</v>
      </c>
      <c r="M24" s="73">
        <f>$G$5*J$5*$B$4*(1/365)*$B$5*$B$6*(1/24)*$M$5*M$11</f>
        <v>1.6417911029889376E-11</v>
      </c>
      <c r="N24" s="73">
        <f>$G$5*K$5*$B$4*(1/365)*$B$5*$B$6*(1/24)*$M$5*N$11</f>
        <v>1.7903341075450799E-11</v>
      </c>
      <c r="O24" s="74">
        <f>$G$5*L$5*$B$4*(1/365)*$B$5*$B$6*(1/24)*$M$5*O$11</f>
        <v>6.2352885279929863E-11</v>
      </c>
      <c r="Q24" s="219"/>
      <c r="R24" s="73">
        <f>$G$5*H$5*$B$4*(1/365)*$B$5*$B$6*(1/24)*$M$5*R$11</f>
        <v>3.7724084941099337E-11</v>
      </c>
      <c r="S24" s="73">
        <f>$G$5*I$5*$B$4*(1/365)*$B$5*$B$6*(1/24)*$M$5*S$11</f>
        <v>2.0906338981086126E-11</v>
      </c>
      <c r="T24" s="73">
        <f>$G$5*J$5*$B$4*(1/365)*$B$5*$B$6*(1/24)*$M$5*T$11</f>
        <v>2.9122937586588224E-11</v>
      </c>
      <c r="U24" s="73">
        <f>$G$5*K$5*$B$4*(1/365)*$B$5*$B$6*(1/24)*$M$5*U$11</f>
        <v>3.2770073063899344E-11</v>
      </c>
      <c r="V24" s="73">
        <f>$G$5*L$5*$B$4*(1/365)*$B$5*$B$6*(1/24)*$M$5*V$11</f>
        <v>1.1216741862856949E-10</v>
      </c>
    </row>
    <row r="25" spans="3:22" ht="15.75" thickBot="1" x14ac:dyDescent="0.3">
      <c r="C25" s="220"/>
      <c r="D25" s="110">
        <f>D23/D24</f>
        <v>17319.031878265014</v>
      </c>
      <c r="E25" s="110">
        <f t="shared" ref="E25:H25" si="8">E23/E24</f>
        <v>29150.514868220213</v>
      </c>
      <c r="F25" s="110">
        <f t="shared" si="8"/>
        <v>21282.478578342561</v>
      </c>
      <c r="G25" s="110">
        <f t="shared" si="8"/>
        <v>18261.224245570877</v>
      </c>
      <c r="H25" s="111">
        <f t="shared" si="8"/>
        <v>5659.7558059754392</v>
      </c>
      <c r="I25" s="112"/>
      <c r="J25" s="220"/>
      <c r="K25" s="110">
        <f>K23/K24</f>
        <v>10915.868683836046</v>
      </c>
      <c r="L25" s="110">
        <f t="shared" ref="L25:O25" si="9">L23/L24</f>
        <v>16518.625091991453</v>
      </c>
      <c r="M25" s="110">
        <f t="shared" si="9"/>
        <v>12032.496722737846</v>
      </c>
      <c r="N25" s="110">
        <f t="shared" si="9"/>
        <v>11034.167300327281</v>
      </c>
      <c r="O25" s="111">
        <f t="shared" si="9"/>
        <v>3168.2328696492946</v>
      </c>
      <c r="Q25" s="220"/>
      <c r="R25" s="110">
        <f>R23/R24</f>
        <v>5236.6667334618878</v>
      </c>
      <c r="S25" s="110">
        <f t="shared" ref="S25:V25" si="10">S23/S24</f>
        <v>9449.21350601206</v>
      </c>
      <c r="T25" s="110">
        <f t="shared" si="10"/>
        <v>6783.2601046510163</v>
      </c>
      <c r="U25" s="110">
        <f t="shared" si="10"/>
        <v>6028.3192007579537</v>
      </c>
      <c r="V25" s="111">
        <f t="shared" si="10"/>
        <v>1761.1928943065564</v>
      </c>
    </row>
    <row r="26" spans="3:22" ht="15.75" thickBot="1" x14ac:dyDescent="0.3">
      <c r="C26" s="123"/>
      <c r="D26" s="124"/>
      <c r="E26" s="125" t="s">
        <v>30</v>
      </c>
      <c r="F26" s="125" t="s">
        <v>31</v>
      </c>
      <c r="G26" s="126" t="s">
        <v>32</v>
      </c>
      <c r="I26" s="127"/>
      <c r="J26" s="123"/>
      <c r="K26" s="124"/>
      <c r="L26" s="128" t="s">
        <v>30</v>
      </c>
      <c r="M26" s="128" t="s">
        <v>31</v>
      </c>
      <c r="N26" s="129" t="s">
        <v>32</v>
      </c>
      <c r="Q26" s="123"/>
      <c r="R26" s="124"/>
      <c r="S26" s="130" t="s">
        <v>30</v>
      </c>
      <c r="T26" s="130" t="s">
        <v>31</v>
      </c>
      <c r="U26" s="131" t="s">
        <v>32</v>
      </c>
    </row>
    <row r="27" spans="3:22" x14ac:dyDescent="0.25">
      <c r="C27" s="215" t="s">
        <v>22</v>
      </c>
      <c r="D27" s="132" t="s">
        <v>64</v>
      </c>
      <c r="E27" s="105">
        <v>66.400000000000006</v>
      </c>
      <c r="F27" s="105">
        <v>66.599999999999994</v>
      </c>
      <c r="G27" s="133">
        <f>(E27-F27)/((1/2)*(E27+F27))</f>
        <v>-3.0075187969923101E-3</v>
      </c>
      <c r="J27" s="215" t="s">
        <v>22</v>
      </c>
      <c r="K27" s="132" t="s">
        <v>64</v>
      </c>
      <c r="L27" s="105">
        <v>37</v>
      </c>
      <c r="M27" s="105">
        <v>37</v>
      </c>
      <c r="N27" s="133">
        <f>(L27-M27)/((1/2)*(L27+M27))</f>
        <v>0</v>
      </c>
      <c r="Q27" s="215" t="s">
        <v>22</v>
      </c>
      <c r="R27" s="132" t="s">
        <v>64</v>
      </c>
      <c r="S27" s="105">
        <v>22.4</v>
      </c>
      <c r="T27" s="105">
        <v>22.5</v>
      </c>
      <c r="U27" s="133">
        <f>(S27-T27)/((1/2)*(S27+T27))</f>
        <v>-4.4543429844098627E-3</v>
      </c>
    </row>
    <row r="28" spans="3:22" x14ac:dyDescent="0.25">
      <c r="C28" s="216"/>
      <c r="D28" s="48" t="s">
        <v>65</v>
      </c>
      <c r="E28" s="73">
        <v>152</v>
      </c>
      <c r="F28" s="73">
        <v>153</v>
      </c>
      <c r="G28" s="134">
        <f t="shared" ref="G28:G46" si="11">(E28-F28)/((1/2)*(E28+F28))</f>
        <v>-6.5573770491803279E-3</v>
      </c>
      <c r="J28" s="216"/>
      <c r="K28" s="48" t="s">
        <v>65</v>
      </c>
      <c r="L28" s="73">
        <v>86.2</v>
      </c>
      <c r="M28" s="73">
        <v>86.4</v>
      </c>
      <c r="N28" s="134">
        <f t="shared" ref="N28:N36" si="12">(L28-M28)/((1/2)*(L28+M28))</f>
        <v>-2.3174971031286536E-3</v>
      </c>
      <c r="Q28" s="216"/>
      <c r="R28" s="48" t="s">
        <v>65</v>
      </c>
      <c r="S28" s="73">
        <v>48.5</v>
      </c>
      <c r="T28" s="73">
        <v>48.6</v>
      </c>
      <c r="U28" s="134">
        <f t="shared" ref="U28:U36" si="13">(S28-T28)/((1/2)*(S28+T28))</f>
        <v>-2.0597322348095042E-3</v>
      </c>
    </row>
    <row r="29" spans="3:22" x14ac:dyDescent="0.25">
      <c r="C29" s="216"/>
      <c r="D29" s="48" t="s">
        <v>66</v>
      </c>
      <c r="E29" s="73">
        <v>81</v>
      </c>
      <c r="F29" s="73">
        <v>81.099999999999994</v>
      </c>
      <c r="G29" s="134">
        <f t="shared" si="11"/>
        <v>-1.2338062924120213E-3</v>
      </c>
      <c r="J29" s="216"/>
      <c r="K29" s="48" t="s">
        <v>66</v>
      </c>
      <c r="L29" s="73">
        <v>46.1</v>
      </c>
      <c r="M29" s="73">
        <v>46.2</v>
      </c>
      <c r="N29" s="134">
        <f t="shared" si="12"/>
        <v>-2.1668472372698032E-3</v>
      </c>
      <c r="Q29" s="216"/>
      <c r="R29" s="48" t="s">
        <v>66</v>
      </c>
      <c r="S29" s="73">
        <v>26.5</v>
      </c>
      <c r="T29" s="73">
        <v>26.6</v>
      </c>
      <c r="U29" s="134">
        <f t="shared" si="13"/>
        <v>-3.7664783427495828E-3</v>
      </c>
    </row>
    <row r="30" spans="3:22" x14ac:dyDescent="0.25">
      <c r="C30" s="216"/>
      <c r="D30" s="48" t="s">
        <v>67</v>
      </c>
      <c r="E30" s="73">
        <v>74</v>
      </c>
      <c r="F30" s="73">
        <v>74</v>
      </c>
      <c r="G30" s="134">
        <f t="shared" si="11"/>
        <v>0</v>
      </c>
      <c r="J30" s="216"/>
      <c r="K30" s="48" t="s">
        <v>67</v>
      </c>
      <c r="L30" s="73">
        <v>43.7</v>
      </c>
      <c r="M30" s="73">
        <v>43.8</v>
      </c>
      <c r="N30" s="134">
        <f t="shared" si="12"/>
        <v>-2.2857142857141558E-3</v>
      </c>
      <c r="Q30" s="216"/>
      <c r="R30" s="48" t="s">
        <v>67</v>
      </c>
      <c r="S30" s="73">
        <v>25.2</v>
      </c>
      <c r="T30" s="73">
        <v>25.2</v>
      </c>
      <c r="U30" s="134">
        <f t="shared" si="13"/>
        <v>0</v>
      </c>
    </row>
    <row r="31" spans="3:22" ht="15.75" thickBot="1" x14ac:dyDescent="0.3">
      <c r="C31" s="217"/>
      <c r="D31" s="135" t="s">
        <v>68</v>
      </c>
      <c r="E31" s="78">
        <v>126</v>
      </c>
      <c r="F31" s="78">
        <v>126</v>
      </c>
      <c r="G31" s="136">
        <f t="shared" si="11"/>
        <v>0</v>
      </c>
      <c r="J31" s="217"/>
      <c r="K31" s="137" t="s">
        <v>68</v>
      </c>
      <c r="L31" s="138">
        <v>70.8</v>
      </c>
      <c r="M31" s="138">
        <v>70.7</v>
      </c>
      <c r="N31" s="139">
        <f t="shared" si="12"/>
        <v>1.4134275618373755E-3</v>
      </c>
      <c r="Q31" s="217"/>
      <c r="R31" s="137" t="s">
        <v>68</v>
      </c>
      <c r="S31" s="138">
        <v>39.200000000000003</v>
      </c>
      <c r="T31" s="138">
        <v>39.200000000000003</v>
      </c>
      <c r="U31" s="139">
        <f t="shared" si="13"/>
        <v>0</v>
      </c>
    </row>
    <row r="32" spans="3:22" x14ac:dyDescent="0.25">
      <c r="C32" s="215" t="s">
        <v>23</v>
      </c>
      <c r="D32" s="140" t="s">
        <v>64</v>
      </c>
      <c r="E32" s="114">
        <v>0.54500000000000004</v>
      </c>
      <c r="F32" s="114">
        <v>0.54600000000000004</v>
      </c>
      <c r="G32" s="141">
        <f t="shared" si="11"/>
        <v>-1.8331805682859775E-3</v>
      </c>
      <c r="J32" s="215" t="s">
        <v>23</v>
      </c>
      <c r="K32" s="140" t="s">
        <v>64</v>
      </c>
      <c r="L32" s="114">
        <v>0.30299999999999999</v>
      </c>
      <c r="M32" s="114">
        <v>0.30399999999999999</v>
      </c>
      <c r="N32" s="141">
        <f t="shared" si="12"/>
        <v>-3.2948929159802337E-3</v>
      </c>
      <c r="Q32" s="215" t="s">
        <v>23</v>
      </c>
      <c r="R32" s="140" t="s">
        <v>64</v>
      </c>
      <c r="S32" s="114">
        <v>0.161</v>
      </c>
      <c r="T32" s="114">
        <v>0.161</v>
      </c>
      <c r="U32" s="141">
        <f t="shared" si="13"/>
        <v>0</v>
      </c>
    </row>
    <row r="33" spans="3:21" x14ac:dyDescent="0.25">
      <c r="C33" s="216"/>
      <c r="D33" s="48" t="s">
        <v>65</v>
      </c>
      <c r="E33" s="73">
        <v>6.91</v>
      </c>
      <c r="F33" s="73">
        <v>6.9</v>
      </c>
      <c r="G33" s="134">
        <f t="shared" si="11"/>
        <v>1.4482259232439952E-3</v>
      </c>
      <c r="J33" s="216"/>
      <c r="K33" s="48" t="s">
        <v>65</v>
      </c>
      <c r="L33" s="73">
        <v>3.69</v>
      </c>
      <c r="M33" s="73">
        <v>3.69</v>
      </c>
      <c r="N33" s="134">
        <f t="shared" si="12"/>
        <v>0</v>
      </c>
      <c r="Q33" s="216"/>
      <c r="R33" s="48" t="s">
        <v>65</v>
      </c>
      <c r="S33" s="73">
        <v>1.99</v>
      </c>
      <c r="T33" s="73">
        <v>1.99</v>
      </c>
      <c r="U33" s="134">
        <f t="shared" si="13"/>
        <v>0</v>
      </c>
    </row>
    <row r="34" spans="3:21" x14ac:dyDescent="0.25">
      <c r="C34" s="216"/>
      <c r="D34" s="48" t="s">
        <v>66</v>
      </c>
      <c r="E34" s="73">
        <v>1.56</v>
      </c>
      <c r="F34" s="73">
        <v>1.56</v>
      </c>
      <c r="G34" s="134">
        <f t="shared" si="11"/>
        <v>0</v>
      </c>
      <c r="J34" s="216"/>
      <c r="K34" s="48" t="s">
        <v>66</v>
      </c>
      <c r="L34" s="73">
        <v>0.84</v>
      </c>
      <c r="M34" s="73">
        <v>0.84199999999999997</v>
      </c>
      <c r="N34" s="134">
        <f t="shared" si="12"/>
        <v>-2.3781212841854958E-3</v>
      </c>
      <c r="Q34" s="216"/>
      <c r="R34" s="48" t="s">
        <v>66</v>
      </c>
      <c r="S34" s="73">
        <v>0.46100000000000002</v>
      </c>
      <c r="T34" s="73">
        <v>0.46200000000000002</v>
      </c>
      <c r="U34" s="134">
        <f t="shared" si="13"/>
        <v>-2.1668472372697741E-3</v>
      </c>
    </row>
    <row r="35" spans="3:21" x14ac:dyDescent="0.25">
      <c r="C35" s="216"/>
      <c r="D35" s="48" t="s">
        <v>67</v>
      </c>
      <c r="E35" s="73">
        <v>0.753</v>
      </c>
      <c r="F35" s="73">
        <v>0.752</v>
      </c>
      <c r="G35" s="134">
        <f t="shared" si="11"/>
        <v>1.3289036544850512E-3</v>
      </c>
      <c r="J35" s="216"/>
      <c r="K35" s="48" t="s">
        <v>67</v>
      </c>
      <c r="L35" s="73">
        <v>0.40200000000000002</v>
      </c>
      <c r="M35" s="73">
        <v>0.40200000000000002</v>
      </c>
      <c r="N35" s="134">
        <f t="shared" si="12"/>
        <v>0</v>
      </c>
      <c r="Q35" s="216"/>
      <c r="R35" s="48" t="s">
        <v>67</v>
      </c>
      <c r="S35" s="73">
        <v>0.222</v>
      </c>
      <c r="T35" s="73">
        <v>0.221</v>
      </c>
      <c r="U35" s="134">
        <f t="shared" si="13"/>
        <v>4.5146726862302523E-3</v>
      </c>
    </row>
    <row r="36" spans="3:21" ht="15.75" thickBot="1" x14ac:dyDescent="0.3">
      <c r="C36" s="217"/>
      <c r="D36" s="135" t="s">
        <v>68</v>
      </c>
      <c r="E36" s="78">
        <v>10.7</v>
      </c>
      <c r="F36" s="78">
        <v>10.7</v>
      </c>
      <c r="G36" s="136">
        <f t="shared" si="11"/>
        <v>0</v>
      </c>
      <c r="J36" s="217"/>
      <c r="K36" s="135" t="s">
        <v>68</v>
      </c>
      <c r="L36" s="78">
        <v>5.83</v>
      </c>
      <c r="M36" s="78">
        <v>5.84</v>
      </c>
      <c r="N36" s="136">
        <f t="shared" si="12"/>
        <v>-1.7137960582690294E-3</v>
      </c>
      <c r="Q36" s="217"/>
      <c r="R36" s="135" t="s">
        <v>68</v>
      </c>
      <c r="S36" s="78">
        <v>3.08</v>
      </c>
      <c r="T36" s="78">
        <v>3.09</v>
      </c>
      <c r="U36" s="136">
        <f t="shared" si="13"/>
        <v>-3.2414910858994447E-3</v>
      </c>
    </row>
    <row r="37" spans="3:21" x14ac:dyDescent="0.25">
      <c r="C37" s="215" t="s">
        <v>24</v>
      </c>
      <c r="D37" s="132" t="s">
        <v>64</v>
      </c>
      <c r="E37" s="142"/>
      <c r="F37" s="142"/>
      <c r="G37" s="143"/>
      <c r="J37" s="215" t="s">
        <v>24</v>
      </c>
      <c r="K37" s="132" t="s">
        <v>64</v>
      </c>
      <c r="L37" s="142"/>
      <c r="M37" s="142"/>
      <c r="N37" s="143"/>
      <c r="Q37" s="215" t="s">
        <v>24</v>
      </c>
      <c r="R37" s="132" t="s">
        <v>64</v>
      </c>
      <c r="S37" s="142"/>
      <c r="T37" s="142"/>
      <c r="U37" s="143"/>
    </row>
    <row r="38" spans="3:21" x14ac:dyDescent="0.25">
      <c r="C38" s="216"/>
      <c r="D38" s="48" t="s">
        <v>65</v>
      </c>
      <c r="E38" s="144"/>
      <c r="F38" s="144"/>
      <c r="G38" s="145"/>
      <c r="J38" s="216"/>
      <c r="K38" s="48" t="s">
        <v>65</v>
      </c>
      <c r="L38" s="144"/>
      <c r="M38" s="144"/>
      <c r="N38" s="145"/>
      <c r="Q38" s="216"/>
      <c r="R38" s="48" t="s">
        <v>65</v>
      </c>
      <c r="S38" s="144"/>
      <c r="T38" s="144"/>
      <c r="U38" s="145"/>
    </row>
    <row r="39" spans="3:21" x14ac:dyDescent="0.25">
      <c r="C39" s="216"/>
      <c r="D39" s="48" t="s">
        <v>66</v>
      </c>
      <c r="E39" s="144"/>
      <c r="F39" s="144"/>
      <c r="G39" s="145"/>
      <c r="J39" s="216"/>
      <c r="K39" s="48" t="s">
        <v>66</v>
      </c>
      <c r="L39" s="144"/>
      <c r="M39" s="144"/>
      <c r="N39" s="145"/>
      <c r="Q39" s="216"/>
      <c r="R39" s="48" t="s">
        <v>66</v>
      </c>
      <c r="S39" s="144"/>
      <c r="T39" s="144"/>
      <c r="U39" s="145"/>
    </row>
    <row r="40" spans="3:21" x14ac:dyDescent="0.25">
      <c r="C40" s="216"/>
      <c r="D40" s="48" t="s">
        <v>67</v>
      </c>
      <c r="E40" s="144"/>
      <c r="F40" s="144"/>
      <c r="G40" s="145"/>
      <c r="J40" s="216"/>
      <c r="K40" s="48" t="s">
        <v>67</v>
      </c>
      <c r="L40" s="144"/>
      <c r="M40" s="144"/>
      <c r="N40" s="145"/>
      <c r="Q40" s="216"/>
      <c r="R40" s="48" t="s">
        <v>67</v>
      </c>
      <c r="S40" s="144"/>
      <c r="T40" s="144"/>
      <c r="U40" s="145"/>
    </row>
    <row r="41" spans="3:21" ht="15.75" thickBot="1" x14ac:dyDescent="0.3">
      <c r="C41" s="217"/>
      <c r="D41" s="135" t="s">
        <v>68</v>
      </c>
      <c r="E41" s="146"/>
      <c r="F41" s="146"/>
      <c r="G41" s="147"/>
      <c r="J41" s="217"/>
      <c r="K41" s="135" t="s">
        <v>68</v>
      </c>
      <c r="L41" s="146"/>
      <c r="M41" s="146"/>
      <c r="N41" s="147"/>
      <c r="Q41" s="217"/>
      <c r="R41" s="135" t="s">
        <v>68</v>
      </c>
      <c r="S41" s="146"/>
      <c r="T41" s="146"/>
      <c r="U41" s="147"/>
    </row>
    <row r="42" spans="3:21" x14ac:dyDescent="0.25">
      <c r="C42" s="215" t="s">
        <v>25</v>
      </c>
      <c r="D42" s="132" t="s">
        <v>64</v>
      </c>
      <c r="E42" s="105">
        <v>17300</v>
      </c>
      <c r="F42" s="105">
        <v>17400</v>
      </c>
      <c r="G42" s="133">
        <f t="shared" si="11"/>
        <v>-5.763688760806916E-3</v>
      </c>
      <c r="J42" s="215" t="s">
        <v>25</v>
      </c>
      <c r="K42" s="132" t="s">
        <v>64</v>
      </c>
      <c r="L42" s="105">
        <v>10900</v>
      </c>
      <c r="M42" s="105">
        <v>10900</v>
      </c>
      <c r="N42" s="133">
        <f t="shared" ref="N42:N46" si="14">(L42-M42)/((1/2)*(L42+M42))</f>
        <v>0</v>
      </c>
      <c r="Q42" s="215" t="s">
        <v>25</v>
      </c>
      <c r="R42" s="132" t="s">
        <v>64</v>
      </c>
      <c r="S42" s="105">
        <v>5240</v>
      </c>
      <c r="T42" s="105">
        <v>5240</v>
      </c>
      <c r="U42" s="133">
        <f t="shared" ref="U42:U46" si="15">(S42-T42)/((1/2)*(S42+T42))</f>
        <v>0</v>
      </c>
    </row>
    <row r="43" spans="3:21" x14ac:dyDescent="0.25">
      <c r="C43" s="216"/>
      <c r="D43" s="48" t="s">
        <v>65</v>
      </c>
      <c r="E43" s="73">
        <v>29200</v>
      </c>
      <c r="F43" s="73">
        <v>29100</v>
      </c>
      <c r="G43" s="134">
        <f t="shared" si="11"/>
        <v>3.4305317324185248E-3</v>
      </c>
      <c r="J43" s="216"/>
      <c r="K43" s="48" t="s">
        <v>65</v>
      </c>
      <c r="L43" s="73">
        <v>16500</v>
      </c>
      <c r="M43" s="73">
        <v>16600</v>
      </c>
      <c r="N43" s="134">
        <f t="shared" si="14"/>
        <v>-6.0422960725075529E-3</v>
      </c>
      <c r="Q43" s="216"/>
      <c r="R43" s="48" t="s">
        <v>65</v>
      </c>
      <c r="S43" s="73">
        <v>9450</v>
      </c>
      <c r="T43" s="73">
        <v>9470</v>
      </c>
      <c r="U43" s="134">
        <f t="shared" si="15"/>
        <v>-2.1141649048625794E-3</v>
      </c>
    </row>
    <row r="44" spans="3:21" x14ac:dyDescent="0.25">
      <c r="C44" s="216"/>
      <c r="D44" s="48" t="s">
        <v>66</v>
      </c>
      <c r="E44" s="73">
        <v>21300</v>
      </c>
      <c r="F44" s="73">
        <v>21300</v>
      </c>
      <c r="G44" s="134">
        <f t="shared" si="11"/>
        <v>0</v>
      </c>
      <c r="J44" s="216"/>
      <c r="K44" s="48" t="s">
        <v>66</v>
      </c>
      <c r="L44" s="73">
        <v>12000</v>
      </c>
      <c r="M44" s="73">
        <v>12000</v>
      </c>
      <c r="N44" s="134">
        <f t="shared" si="14"/>
        <v>0</v>
      </c>
      <c r="Q44" s="216"/>
      <c r="R44" s="48" t="s">
        <v>66</v>
      </c>
      <c r="S44" s="73">
        <v>6780</v>
      </c>
      <c r="T44" s="73">
        <v>6780</v>
      </c>
      <c r="U44" s="134">
        <f t="shared" si="15"/>
        <v>0</v>
      </c>
    </row>
    <row r="45" spans="3:21" x14ac:dyDescent="0.25">
      <c r="C45" s="216"/>
      <c r="D45" s="48" t="s">
        <v>67</v>
      </c>
      <c r="E45" s="73">
        <v>18300</v>
      </c>
      <c r="F45" s="73">
        <v>18300</v>
      </c>
      <c r="G45" s="134">
        <f t="shared" si="11"/>
        <v>0</v>
      </c>
      <c r="J45" s="216"/>
      <c r="K45" s="48" t="s">
        <v>67</v>
      </c>
      <c r="L45" s="73">
        <v>11000</v>
      </c>
      <c r="M45" s="73">
        <v>11000</v>
      </c>
      <c r="N45" s="134">
        <f t="shared" si="14"/>
        <v>0</v>
      </c>
      <c r="Q45" s="216"/>
      <c r="R45" s="48" t="s">
        <v>67</v>
      </c>
      <c r="S45" s="73">
        <v>6030</v>
      </c>
      <c r="T45" s="73">
        <v>6040</v>
      </c>
      <c r="U45" s="134">
        <f t="shared" si="15"/>
        <v>-1.6570008285004142E-3</v>
      </c>
    </row>
    <row r="46" spans="3:21" ht="15.75" thickBot="1" x14ac:dyDescent="0.3">
      <c r="C46" s="217"/>
      <c r="D46" s="135" t="s">
        <v>68</v>
      </c>
      <c r="E46" s="78">
        <v>5660</v>
      </c>
      <c r="F46" s="78">
        <v>5650</v>
      </c>
      <c r="G46" s="136">
        <f t="shared" si="11"/>
        <v>1.7683465959328027E-3</v>
      </c>
      <c r="J46" s="217"/>
      <c r="K46" s="135" t="s">
        <v>68</v>
      </c>
      <c r="L46" s="78">
        <v>3170</v>
      </c>
      <c r="M46" s="78">
        <v>3170</v>
      </c>
      <c r="N46" s="136">
        <f t="shared" si="14"/>
        <v>0</v>
      </c>
      <c r="Q46" s="217"/>
      <c r="R46" s="135" t="s">
        <v>68</v>
      </c>
      <c r="S46" s="78">
        <v>1760</v>
      </c>
      <c r="T46" s="78">
        <v>1760</v>
      </c>
      <c r="U46" s="136">
        <f t="shared" si="15"/>
        <v>0</v>
      </c>
    </row>
  </sheetData>
  <mergeCells count="27">
    <mergeCell ref="D12:H12"/>
    <mergeCell ref="K12:O12"/>
    <mergeCell ref="R12:V12"/>
    <mergeCell ref="C14:C16"/>
    <mergeCell ref="J14:J16"/>
    <mergeCell ref="Q14:Q16"/>
    <mergeCell ref="C17:C19"/>
    <mergeCell ref="J17:J19"/>
    <mergeCell ref="Q17:Q19"/>
    <mergeCell ref="C20:C22"/>
    <mergeCell ref="J20:J22"/>
    <mergeCell ref="Q20:Q22"/>
    <mergeCell ref="C23:C25"/>
    <mergeCell ref="J23:J25"/>
    <mergeCell ref="Q23:Q25"/>
    <mergeCell ref="C27:C31"/>
    <mergeCell ref="J27:J31"/>
    <mergeCell ref="Q27:Q31"/>
    <mergeCell ref="C42:C46"/>
    <mergeCell ref="J42:J46"/>
    <mergeCell ref="Q42:Q46"/>
    <mergeCell ref="C32:C36"/>
    <mergeCell ref="J32:J36"/>
    <mergeCell ref="Q32:Q36"/>
    <mergeCell ref="C37:C41"/>
    <mergeCell ref="J37:J41"/>
    <mergeCell ref="Q37:Q41"/>
  </mergeCells>
  <conditionalFormatting sqref="G27:G46">
    <cfRule type="cellIs" dxfId="5" priority="5" operator="lessThan">
      <formula>-0.01</formula>
    </cfRule>
    <cfRule type="cellIs" dxfId="4" priority="6" operator="notEqual">
      <formula>0</formula>
    </cfRule>
  </conditionalFormatting>
  <conditionalFormatting sqref="N27:N46">
    <cfRule type="cellIs" dxfId="3" priority="3" operator="lessThan">
      <formula>-0.01</formula>
    </cfRule>
    <cfRule type="cellIs" dxfId="2" priority="4" operator="notEqual">
      <formula>0</formula>
    </cfRule>
  </conditionalFormatting>
  <conditionalFormatting sqref="U27:U46">
    <cfRule type="cellIs" dxfId="1" priority="1" operator="lessThan">
      <formula>-0.01</formula>
    </cfRule>
    <cfRule type="cellIs" dxfId="0" priority="2" operator="notEqual">
      <formula>0</formula>
    </cfRule>
  </conditionalFormatting>
  <pageMargins left="0.7" right="0.7" top="0.75" bottom="0.75" header="0.3" footer="0.3"/>
  <pageSetup scale="5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zoomScaleNormal="100" workbookViewId="0">
      <selection activeCell="AG29" sqref="AG29"/>
    </sheetView>
  </sheetViews>
  <sheetFormatPr defaultRowHeight="15" x14ac:dyDescent="0.25"/>
  <cols>
    <col min="2" max="2" width="12.85546875" bestFit="1" customWidth="1"/>
    <col min="3" max="3" width="11.7109375" bestFit="1" customWidth="1"/>
    <col min="4" max="4" width="10.28515625" bestFit="1" customWidth="1"/>
    <col min="6" max="6" width="10.28515625" bestFit="1" customWidth="1"/>
    <col min="15" max="15" width="12.7109375" bestFit="1" customWidth="1"/>
    <col min="16" max="16" width="8.28515625" bestFit="1" customWidth="1"/>
    <col min="17" max="17" width="12.42578125" bestFit="1" customWidth="1"/>
    <col min="18" max="18" width="11.7109375" bestFit="1" customWidth="1"/>
  </cols>
  <sheetData>
    <row r="1" spans="1:32" ht="15.75" thickBot="1" x14ac:dyDescent="0.3">
      <c r="A1" s="239" t="s">
        <v>69</v>
      </c>
      <c r="B1" s="240"/>
      <c r="C1" s="240"/>
      <c r="D1" s="240"/>
      <c r="E1" s="240"/>
      <c r="F1" s="240"/>
      <c r="G1" s="240"/>
      <c r="H1" s="240"/>
      <c r="I1" s="241"/>
    </row>
    <row r="2" spans="1:32" x14ac:dyDescent="0.25">
      <c r="A2" s="153"/>
      <c r="B2" s="154" t="s">
        <v>70</v>
      </c>
      <c r="C2" s="154" t="s">
        <v>71</v>
      </c>
      <c r="D2" s="154" t="s">
        <v>72</v>
      </c>
      <c r="E2" s="154" t="s">
        <v>73</v>
      </c>
      <c r="F2" s="154" t="s">
        <v>74</v>
      </c>
      <c r="G2" s="154" t="s">
        <v>75</v>
      </c>
      <c r="H2" s="154" t="s">
        <v>76</v>
      </c>
      <c r="I2" s="155" t="s">
        <v>41</v>
      </c>
      <c r="L2" s="230" t="s">
        <v>27</v>
      </c>
      <c r="M2" s="231"/>
      <c r="N2" s="232"/>
    </row>
    <row r="3" spans="1:32" x14ac:dyDescent="0.25">
      <c r="A3" s="156" t="s">
        <v>22</v>
      </c>
      <c r="B3" s="157" t="s">
        <v>77</v>
      </c>
      <c r="C3" s="158">
        <v>1.8699999999999999E-8</v>
      </c>
      <c r="D3" s="158">
        <v>2.77E-8</v>
      </c>
      <c r="E3" s="158">
        <v>1.3799999999999999E-8</v>
      </c>
      <c r="F3" s="158">
        <v>2.5799999999999999E-8</v>
      </c>
      <c r="G3" s="158">
        <v>2.77E-8</v>
      </c>
      <c r="H3" s="158">
        <v>1.3199999999999999E-13</v>
      </c>
      <c r="I3" s="159">
        <f>0.0000581/(10^6)</f>
        <v>5.8100000000000005E-11</v>
      </c>
      <c r="L3" s="173"/>
      <c r="M3" s="174" t="s">
        <v>99</v>
      </c>
      <c r="N3" s="175" t="s">
        <v>38</v>
      </c>
    </row>
    <row r="4" spans="1:32" x14ac:dyDescent="0.25">
      <c r="A4" s="156" t="s">
        <v>23</v>
      </c>
      <c r="B4" s="157" t="s">
        <v>77</v>
      </c>
      <c r="C4" s="158">
        <v>2.1900000000000002E-6</v>
      </c>
      <c r="D4" s="158">
        <v>1.24E-5</v>
      </c>
      <c r="E4" s="158">
        <v>2.26E-6</v>
      </c>
      <c r="F4" s="158">
        <v>6.4899999999999997E-6</v>
      </c>
      <c r="G4" s="158">
        <v>1.04E-5</v>
      </c>
      <c r="H4" s="158">
        <v>2.4400000000000001E-11</v>
      </c>
      <c r="I4" s="159">
        <f>0.0113/(10^6)</f>
        <v>1.1299999999999999E-8</v>
      </c>
      <c r="L4" s="156" t="s">
        <v>22</v>
      </c>
      <c r="M4" s="157" t="s">
        <v>100</v>
      </c>
      <c r="N4" s="176">
        <v>3.77E-8</v>
      </c>
    </row>
    <row r="5" spans="1:32" x14ac:dyDescent="0.25">
      <c r="A5" s="156" t="s">
        <v>24</v>
      </c>
      <c r="B5" s="157" t="s">
        <v>43</v>
      </c>
      <c r="C5" s="158">
        <v>0</v>
      </c>
      <c r="D5" s="158">
        <v>0</v>
      </c>
      <c r="E5" s="158">
        <v>0</v>
      </c>
      <c r="F5" s="158">
        <v>0</v>
      </c>
      <c r="G5" s="158">
        <v>0</v>
      </c>
      <c r="H5" s="158">
        <v>0</v>
      </c>
      <c r="I5" s="159">
        <v>0</v>
      </c>
      <c r="L5" s="156" t="s">
        <v>22</v>
      </c>
      <c r="M5" s="157" t="s">
        <v>77</v>
      </c>
      <c r="N5" s="176">
        <v>2.81E-8</v>
      </c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27"/>
      <c r="AE5" s="127"/>
      <c r="AF5" s="127"/>
    </row>
    <row r="6" spans="1:32" x14ac:dyDescent="0.25">
      <c r="A6" s="156" t="s">
        <v>24</v>
      </c>
      <c r="B6" s="157" t="s">
        <v>77</v>
      </c>
      <c r="C6" s="158">
        <v>0</v>
      </c>
      <c r="D6" s="158">
        <v>0</v>
      </c>
      <c r="E6" s="158">
        <v>0</v>
      </c>
      <c r="F6" s="158">
        <v>0</v>
      </c>
      <c r="G6" s="158">
        <v>0</v>
      </c>
      <c r="H6" s="158">
        <v>0</v>
      </c>
      <c r="I6" s="159">
        <v>0</v>
      </c>
      <c r="L6" s="156" t="s">
        <v>22</v>
      </c>
      <c r="M6" s="157" t="s">
        <v>101</v>
      </c>
      <c r="N6" s="177">
        <v>3.5399999999999999E-8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27"/>
      <c r="AE6" s="127"/>
      <c r="AF6" s="127"/>
    </row>
    <row r="7" spans="1:32" ht="15.75" thickBot="1" x14ac:dyDescent="0.3">
      <c r="A7" s="163" t="s">
        <v>25</v>
      </c>
      <c r="B7" s="164" t="s">
        <v>77</v>
      </c>
      <c r="C7" s="165">
        <v>3.6800000000000002E-10</v>
      </c>
      <c r="D7" s="165">
        <v>6.9200000000000004E-11</v>
      </c>
      <c r="E7" s="165">
        <v>4.8100000000000001E-11</v>
      </c>
      <c r="F7" s="165">
        <v>6.3000000000000002E-11</v>
      </c>
      <c r="G7" s="165">
        <v>6.8700000000000006E-11</v>
      </c>
      <c r="H7" s="165">
        <v>5.9600000000000002E-16</v>
      </c>
      <c r="I7" s="166">
        <f>0.000000256/(10^6)</f>
        <v>2.5600000000000002E-13</v>
      </c>
      <c r="L7" s="156" t="s">
        <v>23</v>
      </c>
      <c r="M7" s="157" t="s">
        <v>100</v>
      </c>
      <c r="N7" s="177">
        <v>1.7100000000000001E-11</v>
      </c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27"/>
      <c r="AE7" s="127"/>
      <c r="AF7" s="127"/>
    </row>
    <row r="8" spans="1:32" ht="15.75" thickBot="1" x14ac:dyDescent="0.3">
      <c r="L8" s="156" t="s">
        <v>23</v>
      </c>
      <c r="M8" s="157" t="s">
        <v>77</v>
      </c>
      <c r="N8" s="159">
        <v>3.59E-11</v>
      </c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27"/>
      <c r="AE8" s="127"/>
      <c r="AF8" s="127"/>
    </row>
    <row r="9" spans="1:32" x14ac:dyDescent="0.25">
      <c r="A9" s="242" t="s">
        <v>26</v>
      </c>
      <c r="B9" s="243"/>
      <c r="C9" s="243"/>
      <c r="D9" s="243"/>
      <c r="E9" s="243"/>
      <c r="F9" s="244"/>
      <c r="L9" s="156" t="s">
        <v>23</v>
      </c>
      <c r="M9" s="157" t="s">
        <v>101</v>
      </c>
      <c r="N9" s="159">
        <v>1.01E-10</v>
      </c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27"/>
      <c r="AE9" s="127"/>
      <c r="AF9" s="127"/>
    </row>
    <row r="10" spans="1:32" x14ac:dyDescent="0.25">
      <c r="A10" s="167"/>
      <c r="B10" s="168" t="s">
        <v>70</v>
      </c>
      <c r="C10" s="168" t="s">
        <v>96</v>
      </c>
      <c r="D10" s="168" t="s">
        <v>97</v>
      </c>
      <c r="E10" s="168" t="s">
        <v>37</v>
      </c>
      <c r="F10" s="169" t="s">
        <v>98</v>
      </c>
      <c r="L10" s="178" t="s">
        <v>24</v>
      </c>
      <c r="M10" s="157" t="s">
        <v>100</v>
      </c>
      <c r="N10" s="159">
        <v>1.9499999999999999E-14</v>
      </c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27"/>
      <c r="AE10" s="127"/>
      <c r="AF10" s="127"/>
    </row>
    <row r="11" spans="1:32" x14ac:dyDescent="0.25">
      <c r="A11" s="156" t="s">
        <v>22</v>
      </c>
      <c r="B11" s="157" t="s">
        <v>77</v>
      </c>
      <c r="C11" s="158">
        <v>1.04E-10</v>
      </c>
      <c r="D11" s="158">
        <v>1.34E-10</v>
      </c>
      <c r="E11" s="158">
        <v>1.8400000000000001E-10</v>
      </c>
      <c r="F11" s="159">
        <v>9.0999999999999996E-11</v>
      </c>
      <c r="L11" s="178" t="s">
        <v>24</v>
      </c>
      <c r="M11" s="157" t="s">
        <v>77</v>
      </c>
      <c r="N11" s="159">
        <v>1.9900000000000001E-13</v>
      </c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27"/>
      <c r="AE11" s="127"/>
      <c r="AF11" s="127"/>
    </row>
    <row r="12" spans="1:32" x14ac:dyDescent="0.25">
      <c r="A12" s="156" t="s">
        <v>23</v>
      </c>
      <c r="B12" s="157" t="s">
        <v>77</v>
      </c>
      <c r="C12" s="158">
        <v>1.58E-11</v>
      </c>
      <c r="D12" s="158">
        <v>2.23E-11</v>
      </c>
      <c r="E12" s="158">
        <v>3.8100000000000003E-11</v>
      </c>
      <c r="F12" s="159">
        <v>7.3300000000000005E-12</v>
      </c>
      <c r="L12" s="178" t="s">
        <v>24</v>
      </c>
      <c r="M12" s="157" t="s">
        <v>101</v>
      </c>
      <c r="N12" s="159">
        <v>8.4700000000000003E-13</v>
      </c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27"/>
      <c r="AE12" s="127"/>
      <c r="AF12" s="127"/>
    </row>
    <row r="13" spans="1:32" x14ac:dyDescent="0.25">
      <c r="A13" s="156" t="s">
        <v>24</v>
      </c>
      <c r="B13" s="157" t="s">
        <v>43</v>
      </c>
      <c r="C13" s="158">
        <v>5.0700000000000001E-14</v>
      </c>
      <c r="D13" s="158">
        <v>6.5099999999999995E-14</v>
      </c>
      <c r="E13" s="158">
        <v>8.9900000000000001E-14</v>
      </c>
      <c r="F13" s="159">
        <v>4.5099999999999998E-14</v>
      </c>
      <c r="H13" s="184"/>
      <c r="I13" s="184"/>
      <c r="J13" s="184"/>
      <c r="L13" s="178" t="s">
        <v>24</v>
      </c>
      <c r="M13" s="157" t="s">
        <v>43</v>
      </c>
      <c r="N13" s="159">
        <v>5.6200000000000003E-14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27"/>
      <c r="AE13" s="127"/>
      <c r="AF13" s="127"/>
    </row>
    <row r="14" spans="1:32" x14ac:dyDescent="0.25">
      <c r="A14" s="156" t="s">
        <v>24</v>
      </c>
      <c r="B14" s="157" t="s">
        <v>77</v>
      </c>
      <c r="C14" s="158">
        <v>1.12E-13</v>
      </c>
      <c r="D14" s="158">
        <v>1.4399999999999999E-13</v>
      </c>
      <c r="E14" s="158">
        <v>0</v>
      </c>
      <c r="F14" s="159">
        <v>0</v>
      </c>
      <c r="H14" s="181"/>
      <c r="I14" s="100"/>
      <c r="J14" s="100"/>
      <c r="L14" s="178" t="s">
        <v>24</v>
      </c>
      <c r="M14" s="157" t="s">
        <v>102</v>
      </c>
      <c r="N14" s="159">
        <v>5.6200000000000001E-18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27"/>
      <c r="AE14" s="127"/>
      <c r="AF14" s="127"/>
    </row>
    <row r="15" spans="1:32" ht="15.75" thickBot="1" x14ac:dyDescent="0.3">
      <c r="A15" s="163" t="s">
        <v>25</v>
      </c>
      <c r="B15" s="164" t="s">
        <v>77</v>
      </c>
      <c r="C15" s="165">
        <v>1.3100000000000001E-10</v>
      </c>
      <c r="D15" s="165">
        <v>1.6900000000000001E-10</v>
      </c>
      <c r="E15" s="165">
        <v>2.25E-10</v>
      </c>
      <c r="F15" s="166">
        <v>1.1700000000000001E-10</v>
      </c>
      <c r="H15" s="181"/>
      <c r="I15" s="186"/>
      <c r="J15" s="192"/>
      <c r="L15" s="178" t="s">
        <v>24</v>
      </c>
      <c r="M15" s="157" t="s">
        <v>103</v>
      </c>
      <c r="N15" s="159">
        <v>1.2800000000000001E-13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27"/>
      <c r="AE15" s="127"/>
      <c r="AF15" s="127"/>
    </row>
    <row r="16" spans="1:32" x14ac:dyDescent="0.25">
      <c r="H16" s="181"/>
      <c r="I16" s="186"/>
      <c r="J16" s="192"/>
      <c r="L16" s="178" t="s">
        <v>25</v>
      </c>
      <c r="M16" s="157" t="s">
        <v>100</v>
      </c>
      <c r="N16" s="159">
        <v>5.2199999999999998E-8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27"/>
      <c r="AE16" s="127"/>
      <c r="AF16" s="127"/>
    </row>
    <row r="17" spans="1:32" x14ac:dyDescent="0.25">
      <c r="A17" s="184"/>
      <c r="B17" s="184"/>
      <c r="C17" s="184"/>
      <c r="H17" s="181"/>
      <c r="I17" s="186"/>
      <c r="J17" s="193"/>
      <c r="L17" s="178" t="s">
        <v>25</v>
      </c>
      <c r="M17" s="157" t="s">
        <v>77</v>
      </c>
      <c r="N17" s="159">
        <v>3.3600000000000003E-8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27"/>
      <c r="AE17" s="127"/>
      <c r="AF17" s="127"/>
    </row>
    <row r="18" spans="1:32" ht="15.75" thickBot="1" x14ac:dyDescent="0.3">
      <c r="A18" s="181"/>
      <c r="B18" s="100"/>
      <c r="C18" s="100"/>
      <c r="H18" s="181"/>
      <c r="I18" s="186"/>
      <c r="J18" s="193"/>
      <c r="L18" s="179" t="s">
        <v>25</v>
      </c>
      <c r="M18" s="164" t="s">
        <v>101</v>
      </c>
      <c r="N18" s="166">
        <v>3.55E-8</v>
      </c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</row>
    <row r="19" spans="1:32" ht="15.75" thickBot="1" x14ac:dyDescent="0.3">
      <c r="A19" s="181"/>
      <c r="B19" s="186"/>
      <c r="C19" s="192"/>
      <c r="H19" s="181"/>
      <c r="I19" s="186"/>
      <c r="J19" s="10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</row>
    <row r="20" spans="1:32" x14ac:dyDescent="0.25">
      <c r="A20" s="233" t="s">
        <v>78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5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</row>
    <row r="21" spans="1:32" x14ac:dyDescent="0.25">
      <c r="A21" s="160"/>
      <c r="B21" s="161" t="s">
        <v>79</v>
      </c>
      <c r="C21" s="161" t="s">
        <v>80</v>
      </c>
      <c r="D21" s="161" t="s">
        <v>81</v>
      </c>
      <c r="E21" s="161" t="s">
        <v>82</v>
      </c>
      <c r="F21" s="161" t="s">
        <v>83</v>
      </c>
      <c r="G21" s="161" t="s">
        <v>84</v>
      </c>
      <c r="H21" s="161" t="s">
        <v>85</v>
      </c>
      <c r="I21" s="161" t="s">
        <v>86</v>
      </c>
      <c r="J21" s="161" t="s">
        <v>87</v>
      </c>
      <c r="K21" s="161" t="s">
        <v>88</v>
      </c>
      <c r="L21" s="161" t="s">
        <v>89</v>
      </c>
      <c r="M21" s="161" t="s">
        <v>90</v>
      </c>
      <c r="N21" s="161" t="s">
        <v>91</v>
      </c>
      <c r="O21" s="161" t="s">
        <v>92</v>
      </c>
      <c r="P21" s="161" t="s">
        <v>93</v>
      </c>
      <c r="Q21" s="161" t="s">
        <v>94</v>
      </c>
      <c r="R21" s="162" t="s">
        <v>95</v>
      </c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</row>
    <row r="22" spans="1:32" x14ac:dyDescent="0.25">
      <c r="A22" s="156" t="s">
        <v>22</v>
      </c>
      <c r="B22" s="158">
        <v>8.4000000000000005E-2</v>
      </c>
      <c r="C22" s="158">
        <v>0.15</v>
      </c>
      <c r="D22" s="158">
        <v>0.27</v>
      </c>
      <c r="E22" s="158">
        <v>0.39</v>
      </c>
      <c r="F22" s="158">
        <v>0.51</v>
      </c>
      <c r="G22" s="158">
        <v>0.65</v>
      </c>
      <c r="H22" s="158">
        <v>0.74</v>
      </c>
      <c r="I22" s="158">
        <v>0.81</v>
      </c>
      <c r="J22" s="158">
        <v>0.87</v>
      </c>
      <c r="K22" s="158">
        <v>0.91</v>
      </c>
      <c r="L22" s="158">
        <v>0.93</v>
      </c>
      <c r="M22" s="158">
        <v>0.95</v>
      </c>
      <c r="N22" s="158">
        <v>0.98</v>
      </c>
      <c r="O22" s="158">
        <v>0.99</v>
      </c>
      <c r="P22" s="158">
        <v>0.99</v>
      </c>
      <c r="Q22" s="158">
        <v>1</v>
      </c>
      <c r="R22" s="159">
        <v>1</v>
      </c>
    </row>
    <row r="23" spans="1:32" x14ac:dyDescent="0.25">
      <c r="A23" s="156" t="s">
        <v>23</v>
      </c>
      <c r="B23" s="158">
        <v>2.8000000000000001E-2</v>
      </c>
      <c r="C23" s="158">
        <v>5.1999999999999998E-2</v>
      </c>
      <c r="D23" s="158">
        <v>9.8000000000000004E-2</v>
      </c>
      <c r="E23" s="158">
        <v>0.15</v>
      </c>
      <c r="F23" s="158">
        <v>0.21</v>
      </c>
      <c r="G23" s="158">
        <v>0.28999999999999998</v>
      </c>
      <c r="H23" s="158">
        <v>0.37</v>
      </c>
      <c r="I23" s="158">
        <v>0.44</v>
      </c>
      <c r="J23" s="158">
        <v>0.54</v>
      </c>
      <c r="K23" s="158">
        <v>0.59</v>
      </c>
      <c r="L23" s="158">
        <v>0.66</v>
      </c>
      <c r="M23" s="158">
        <v>0.74</v>
      </c>
      <c r="N23" s="158">
        <v>0.81</v>
      </c>
      <c r="O23" s="158">
        <v>0.87</v>
      </c>
      <c r="P23" s="158">
        <v>0.91</v>
      </c>
      <c r="Q23" s="158">
        <v>0.97</v>
      </c>
      <c r="R23" s="159">
        <v>1</v>
      </c>
    </row>
    <row r="24" spans="1:32" x14ac:dyDescent="0.25">
      <c r="A24" s="156" t="s">
        <v>24</v>
      </c>
      <c r="B24" s="158">
        <v>1</v>
      </c>
      <c r="C24" s="158">
        <v>1</v>
      </c>
      <c r="D24" s="158">
        <v>1</v>
      </c>
      <c r="E24" s="158">
        <v>1</v>
      </c>
      <c r="F24" s="158">
        <v>1</v>
      </c>
      <c r="G24" s="158">
        <v>1</v>
      </c>
      <c r="H24" s="158">
        <v>1</v>
      </c>
      <c r="I24" s="158">
        <v>1</v>
      </c>
      <c r="J24" s="158">
        <v>1</v>
      </c>
      <c r="K24" s="158">
        <v>1</v>
      </c>
      <c r="L24" s="158">
        <v>1</v>
      </c>
      <c r="M24" s="158">
        <v>1</v>
      </c>
      <c r="N24" s="158">
        <v>1</v>
      </c>
      <c r="O24" s="158">
        <v>1</v>
      </c>
      <c r="P24" s="158">
        <v>1</v>
      </c>
      <c r="Q24" s="158">
        <v>1</v>
      </c>
      <c r="R24" s="159">
        <v>1</v>
      </c>
    </row>
    <row r="25" spans="1:32" ht="15.75" thickBot="1" x14ac:dyDescent="0.3">
      <c r="A25" s="163" t="s">
        <v>25</v>
      </c>
      <c r="B25" s="165">
        <v>0.1</v>
      </c>
      <c r="C25" s="165">
        <v>0.18</v>
      </c>
      <c r="D25" s="165">
        <v>0.33</v>
      </c>
      <c r="E25" s="165">
        <v>0.47</v>
      </c>
      <c r="F25" s="165">
        <v>0.61</v>
      </c>
      <c r="G25" s="165">
        <v>0.78</v>
      </c>
      <c r="H25" s="165">
        <v>0.87</v>
      </c>
      <c r="I25" s="165">
        <v>0.94</v>
      </c>
      <c r="J25" s="165">
        <v>0.99</v>
      </c>
      <c r="K25" s="165">
        <v>1</v>
      </c>
      <c r="L25" s="165">
        <v>1</v>
      </c>
      <c r="M25" s="165">
        <v>1</v>
      </c>
      <c r="N25" s="165">
        <v>1</v>
      </c>
      <c r="O25" s="165">
        <v>1</v>
      </c>
      <c r="P25" s="165">
        <v>1</v>
      </c>
      <c r="Q25" s="165">
        <v>1</v>
      </c>
      <c r="R25" s="166">
        <v>1</v>
      </c>
    </row>
    <row r="26" spans="1:32" ht="15.75" thickBot="1" x14ac:dyDescent="0.3"/>
    <row r="27" spans="1:32" x14ac:dyDescent="0.25">
      <c r="A27" s="236" t="s">
        <v>72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8"/>
    </row>
    <row r="28" spans="1:32" x14ac:dyDescent="0.25">
      <c r="A28" s="170"/>
      <c r="B28" s="171" t="s">
        <v>79</v>
      </c>
      <c r="C28" s="171" t="s">
        <v>80</v>
      </c>
      <c r="D28" s="171" t="s">
        <v>81</v>
      </c>
      <c r="E28" s="171" t="s">
        <v>82</v>
      </c>
      <c r="F28" s="171" t="s">
        <v>83</v>
      </c>
      <c r="G28" s="171" t="s">
        <v>84</v>
      </c>
      <c r="H28" s="171" t="s">
        <v>85</v>
      </c>
      <c r="I28" s="171" t="s">
        <v>86</v>
      </c>
      <c r="J28" s="171" t="s">
        <v>87</v>
      </c>
      <c r="K28" s="171" t="s">
        <v>88</v>
      </c>
      <c r="L28" s="171" t="s">
        <v>89</v>
      </c>
      <c r="M28" s="171" t="s">
        <v>90</v>
      </c>
      <c r="N28" s="171" t="s">
        <v>91</v>
      </c>
      <c r="O28" s="171" t="s">
        <v>92</v>
      </c>
      <c r="P28" s="171" t="s">
        <v>93</v>
      </c>
      <c r="Q28" s="171" t="s">
        <v>94</v>
      </c>
      <c r="R28" s="172" t="s">
        <v>95</v>
      </c>
    </row>
    <row r="29" spans="1:32" x14ac:dyDescent="0.25">
      <c r="A29" s="156" t="s">
        <v>22</v>
      </c>
      <c r="B29" s="158">
        <v>0.1</v>
      </c>
      <c r="C29" s="158">
        <v>0.19</v>
      </c>
      <c r="D29" s="158">
        <v>0.32</v>
      </c>
      <c r="E29" s="158">
        <v>0.48</v>
      </c>
      <c r="F29" s="158">
        <v>0.55000000000000004</v>
      </c>
      <c r="G29" s="158">
        <v>0.66</v>
      </c>
      <c r="H29" s="158">
        <v>0.69</v>
      </c>
      <c r="I29" s="158">
        <v>0.75</v>
      </c>
      <c r="J29" s="158">
        <v>0.74</v>
      </c>
      <c r="K29" s="158">
        <v>0.82</v>
      </c>
      <c r="L29" s="158">
        <v>0.87</v>
      </c>
      <c r="M29" s="158">
        <v>0.91</v>
      </c>
      <c r="N29" s="158">
        <v>1.1000000000000001</v>
      </c>
      <c r="O29" s="158">
        <v>0.95</v>
      </c>
      <c r="P29" s="158">
        <v>0.99</v>
      </c>
      <c r="Q29" s="158">
        <v>1</v>
      </c>
      <c r="R29" s="159">
        <v>1</v>
      </c>
    </row>
    <row r="30" spans="1:32" x14ac:dyDescent="0.25">
      <c r="A30" s="156" t="s">
        <v>23</v>
      </c>
      <c r="B30" s="158">
        <v>9.8000000000000004E-2</v>
      </c>
      <c r="C30" s="158">
        <v>0.18</v>
      </c>
      <c r="D30" s="158">
        <v>0.33</v>
      </c>
      <c r="E30" s="158">
        <v>0.49</v>
      </c>
      <c r="F30" s="158">
        <v>0.59</v>
      </c>
      <c r="G30" s="158">
        <v>0.7</v>
      </c>
      <c r="H30" s="158">
        <v>0.74</v>
      </c>
      <c r="I30" s="158">
        <v>0.76</v>
      </c>
      <c r="J30" s="158">
        <v>0.71</v>
      </c>
      <c r="K30" s="158">
        <v>0.93</v>
      </c>
      <c r="L30" s="158">
        <v>0.85</v>
      </c>
      <c r="M30" s="158">
        <v>0.88</v>
      </c>
      <c r="N30" s="158">
        <v>0.92</v>
      </c>
      <c r="O30" s="158">
        <v>0.94</v>
      </c>
      <c r="P30" s="158">
        <v>1</v>
      </c>
      <c r="Q30" s="158">
        <v>0.95</v>
      </c>
      <c r="R30" s="159">
        <v>1</v>
      </c>
    </row>
    <row r="31" spans="1:32" x14ac:dyDescent="0.25">
      <c r="A31" s="156" t="s">
        <v>24</v>
      </c>
      <c r="B31" s="158">
        <v>1</v>
      </c>
      <c r="C31" s="158">
        <v>1</v>
      </c>
      <c r="D31" s="158">
        <v>1</v>
      </c>
      <c r="E31" s="158">
        <v>1</v>
      </c>
      <c r="F31" s="158">
        <v>1</v>
      </c>
      <c r="G31" s="158">
        <v>1</v>
      </c>
      <c r="H31" s="158">
        <v>1</v>
      </c>
      <c r="I31" s="158">
        <v>1</v>
      </c>
      <c r="J31" s="158">
        <v>1</v>
      </c>
      <c r="K31" s="158">
        <v>1</v>
      </c>
      <c r="L31" s="158">
        <v>1</v>
      </c>
      <c r="M31" s="158">
        <v>1</v>
      </c>
      <c r="N31" s="158">
        <v>1</v>
      </c>
      <c r="O31" s="158">
        <v>1</v>
      </c>
      <c r="P31" s="158">
        <v>1</v>
      </c>
      <c r="Q31" s="158">
        <v>1</v>
      </c>
      <c r="R31" s="159">
        <v>1</v>
      </c>
    </row>
    <row r="32" spans="1:32" ht="15.75" thickBot="1" x14ac:dyDescent="0.3">
      <c r="A32" s="163" t="s">
        <v>25</v>
      </c>
      <c r="B32" s="165">
        <v>0.18</v>
      </c>
      <c r="C32" s="165">
        <v>0.28000000000000003</v>
      </c>
      <c r="D32" s="165">
        <v>0.59</v>
      </c>
      <c r="E32" s="165">
        <v>0.82</v>
      </c>
      <c r="F32" s="165">
        <v>0.86</v>
      </c>
      <c r="G32" s="165">
        <v>0.98</v>
      </c>
      <c r="H32" s="165">
        <v>1</v>
      </c>
      <c r="I32" s="165">
        <v>0.94</v>
      </c>
      <c r="J32" s="165">
        <v>0.97</v>
      </c>
      <c r="K32" s="165">
        <v>1</v>
      </c>
      <c r="L32" s="165">
        <v>1</v>
      </c>
      <c r="M32" s="165">
        <v>1</v>
      </c>
      <c r="N32" s="165">
        <v>1.1000000000000001</v>
      </c>
      <c r="O32" s="165">
        <v>1.1000000000000001</v>
      </c>
      <c r="P32" s="165">
        <v>0.99</v>
      </c>
      <c r="Q32" s="165">
        <v>1</v>
      </c>
      <c r="R32" s="166">
        <v>1</v>
      </c>
    </row>
    <row r="33" spans="1:32" x14ac:dyDescent="0.25">
      <c r="A33" s="194"/>
      <c r="B33" s="186"/>
      <c r="C33" s="107"/>
    </row>
    <row r="34" spans="1:32" x14ac:dyDescent="0.25">
      <c r="A34" s="181"/>
      <c r="B34" s="181"/>
      <c r="C34" s="181"/>
    </row>
    <row r="35" spans="1:32" x14ac:dyDescent="0.25"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</row>
    <row r="36" spans="1:32" x14ac:dyDescent="0.25"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</row>
    <row r="37" spans="1:32" x14ac:dyDescent="0.25">
      <c r="I37" s="127"/>
      <c r="J37" s="127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27"/>
      <c r="AD37" s="127"/>
      <c r="AE37" s="127"/>
      <c r="AF37" s="127"/>
    </row>
    <row r="38" spans="1:32" x14ac:dyDescent="0.25">
      <c r="I38" s="127"/>
      <c r="J38" s="127"/>
      <c r="K38" s="181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27"/>
      <c r="AD38" s="127"/>
      <c r="AE38" s="127"/>
      <c r="AF38" s="127"/>
    </row>
    <row r="39" spans="1:32" x14ac:dyDescent="0.25">
      <c r="I39" s="127"/>
      <c r="J39" s="127"/>
      <c r="K39" s="181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27"/>
      <c r="AD39" s="127"/>
      <c r="AE39" s="127"/>
      <c r="AF39" s="127"/>
    </row>
    <row r="40" spans="1:32" x14ac:dyDescent="0.25">
      <c r="I40" s="127"/>
      <c r="J40" s="127"/>
      <c r="K40" s="181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27"/>
      <c r="AD40" s="127"/>
      <c r="AE40" s="127"/>
      <c r="AF40" s="127"/>
    </row>
    <row r="41" spans="1:32" x14ac:dyDescent="0.25">
      <c r="I41" s="127"/>
      <c r="J41" s="127"/>
      <c r="K41" s="181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27"/>
      <c r="AD41" s="127"/>
      <c r="AE41" s="127"/>
      <c r="AF41" s="127"/>
    </row>
    <row r="42" spans="1:32" x14ac:dyDescent="0.25">
      <c r="I42" s="127"/>
      <c r="J42" s="127"/>
      <c r="K42" s="181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27"/>
      <c r="AD42" s="127"/>
      <c r="AE42" s="127"/>
      <c r="AF42" s="127"/>
    </row>
    <row r="43" spans="1:32" x14ac:dyDescent="0.25">
      <c r="I43" s="127"/>
      <c r="J43" s="127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27"/>
      <c r="AD43" s="127"/>
      <c r="AE43" s="127"/>
      <c r="AF43" s="127"/>
    </row>
    <row r="44" spans="1:32" x14ac:dyDescent="0.25">
      <c r="I44" s="127"/>
      <c r="J44" s="127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27"/>
      <c r="AD44" s="127"/>
      <c r="AE44" s="127"/>
      <c r="AF44" s="127"/>
    </row>
    <row r="45" spans="1:32" x14ac:dyDescent="0.25">
      <c r="I45" s="127"/>
      <c r="J45" s="127"/>
      <c r="K45" s="181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27"/>
      <c r="AD45" s="127"/>
      <c r="AE45" s="127"/>
      <c r="AF45" s="127"/>
    </row>
    <row r="46" spans="1:32" x14ac:dyDescent="0.25">
      <c r="I46" s="127"/>
      <c r="J46" s="127"/>
      <c r="K46" s="181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27"/>
      <c r="AD46" s="127"/>
      <c r="AE46" s="127"/>
      <c r="AF46" s="127"/>
    </row>
    <row r="47" spans="1:32" x14ac:dyDescent="0.25">
      <c r="I47" s="127"/>
      <c r="J47" s="127"/>
      <c r="K47" s="181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27"/>
      <c r="AD47" s="127"/>
      <c r="AE47" s="127"/>
      <c r="AF47" s="127"/>
    </row>
    <row r="48" spans="1:32" x14ac:dyDescent="0.25">
      <c r="I48" s="127"/>
      <c r="J48" s="127"/>
      <c r="K48" s="181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27"/>
      <c r="AD48" s="127"/>
      <c r="AE48" s="127"/>
      <c r="AF48" s="127"/>
    </row>
    <row r="49" spans="9:32" x14ac:dyDescent="0.25">
      <c r="I49" s="127"/>
      <c r="J49" s="127"/>
      <c r="K49" s="181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27"/>
      <c r="AD49" s="127"/>
      <c r="AE49" s="127"/>
      <c r="AF49" s="127"/>
    </row>
    <row r="50" spans="9:32" x14ac:dyDescent="0.25">
      <c r="I50" s="127"/>
      <c r="J50" s="127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27"/>
      <c r="AD50" s="127"/>
      <c r="AE50" s="127"/>
      <c r="AF50" s="127"/>
    </row>
    <row r="51" spans="9:32" x14ac:dyDescent="0.25"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</row>
    <row r="52" spans="9:32" x14ac:dyDescent="0.25"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</row>
    <row r="53" spans="9:32" x14ac:dyDescent="0.25"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</row>
    <row r="54" spans="9:32" x14ac:dyDescent="0.25"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</row>
  </sheetData>
  <mergeCells count="5">
    <mergeCell ref="L2:N2"/>
    <mergeCell ref="A20:R20"/>
    <mergeCell ref="A27:R27"/>
    <mergeCell ref="A1:I1"/>
    <mergeCell ref="A9:F9"/>
  </mergeCells>
  <pageMargins left="0.7" right="0.7" top="0.75" bottom="0.75" header="0.3" footer="0.3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Indoor Worker</vt:lpstr>
      <vt:lpstr>Outdoor Worker</vt:lpstr>
      <vt:lpstr>Ind. Worker 2-D</vt:lpstr>
      <vt:lpstr>Out. Worker 2-D</vt:lpstr>
      <vt:lpstr>Isotope Specific Factors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Stagich, Brooke</dc:creator>
  <cp:lastModifiedBy>Manning, Karessa L.</cp:lastModifiedBy>
  <cp:lastPrinted>2015-10-05T19:38:04Z</cp:lastPrinted>
  <dcterms:created xsi:type="dcterms:W3CDTF">2015-07-28T20:24:27Z</dcterms:created>
  <dcterms:modified xsi:type="dcterms:W3CDTF">2015-10-12T15:07:18Z</dcterms:modified>
</cp:coreProperties>
</file>